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8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386" i="7" l="1"/>
  <c r="H4385" i="7"/>
  <c r="H4384" i="7"/>
  <c r="G4384" i="7"/>
  <c r="L5819" i="1"/>
  <c r="L5817" i="1"/>
  <c r="L5814" i="1"/>
  <c r="L5813" i="1"/>
  <c r="L5812" i="1"/>
  <c r="L5811" i="1"/>
  <c r="L5809" i="1"/>
  <c r="L5799" i="1"/>
  <c r="L5798" i="1"/>
  <c r="L5797" i="1"/>
  <c r="L5795" i="1"/>
  <c r="L5794" i="1"/>
  <c r="L5793" i="1"/>
  <c r="L5791" i="1"/>
  <c r="L5790" i="1"/>
  <c r="L5789" i="1"/>
  <c r="L5822" i="1"/>
  <c r="L5821" i="1"/>
  <c r="L5787" i="1"/>
  <c r="J5817" i="1" l="1"/>
  <c r="L5816" i="1"/>
  <c r="J5814" i="1"/>
  <c r="J5813" i="1"/>
  <c r="L5802" i="1"/>
  <c r="J5802" i="1"/>
  <c r="J5811" i="1"/>
  <c r="J5809" i="1"/>
  <c r="L5805" i="1"/>
  <c r="J5805" i="1"/>
  <c r="L5803" i="1"/>
  <c r="J5803" i="1"/>
  <c r="L5801" i="1"/>
  <c r="J5801" i="1"/>
  <c r="H4383" i="7"/>
  <c r="J5799" i="1"/>
  <c r="J5798" i="1"/>
  <c r="J5797" i="1"/>
  <c r="J5795" i="1"/>
  <c r="J5794" i="1"/>
  <c r="J5793" i="1"/>
  <c r="J5791" i="1"/>
  <c r="J5790" i="1"/>
  <c r="H4382" i="7"/>
  <c r="G4382" i="7"/>
  <c r="H4381" i="7"/>
  <c r="G4381" i="7"/>
  <c r="H4380" i="7"/>
  <c r="H4379" i="7"/>
  <c r="G4379" i="7"/>
  <c r="J5789" i="1"/>
  <c r="J5788" i="1"/>
  <c r="J5787" i="1"/>
  <c r="L5785" i="1"/>
  <c r="J5785" i="1"/>
  <c r="L5784" i="1"/>
  <c r="J5784" i="1"/>
  <c r="L5783" i="1"/>
  <c r="L5782" i="1"/>
  <c r="J5782" i="1"/>
  <c r="L5781" i="1"/>
  <c r="J5781" i="1"/>
  <c r="L5776" i="1"/>
  <c r="J5776" i="1"/>
  <c r="L5774" i="1"/>
  <c r="J5774" i="1"/>
  <c r="L5773" i="1"/>
  <c r="J5773" i="1"/>
  <c r="L5765" i="1"/>
  <c r="J5765" i="1"/>
  <c r="L5758" i="1"/>
  <c r="J5758" i="1"/>
  <c r="L5752" i="1"/>
  <c r="J5752" i="1"/>
  <c r="J5748" i="1"/>
  <c r="L5751" i="1"/>
  <c r="J5751" i="1"/>
  <c r="L5750" i="1"/>
  <c r="J5750" i="1"/>
  <c r="L5747" i="1"/>
  <c r="J5747" i="1"/>
  <c r="L5745" i="1"/>
  <c r="J5745" i="1"/>
  <c r="L5743" i="1"/>
  <c r="J5743" i="1"/>
  <c r="L5728" i="1"/>
  <c r="J5728" i="1"/>
  <c r="L5724" i="1"/>
  <c r="J5724" i="1"/>
  <c r="L5722" i="1"/>
  <c r="J5722" i="1"/>
  <c r="L5708" i="1"/>
  <c r="J5708" i="1"/>
  <c r="L5701" i="1"/>
  <c r="J5701" i="1"/>
  <c r="L5688" i="1"/>
  <c r="J5688" i="1"/>
  <c r="L5687" i="1"/>
  <c r="J5687" i="1"/>
  <c r="L5686" i="1"/>
  <c r="J5686" i="1"/>
  <c r="L5685" i="1"/>
  <c r="J5685" i="1"/>
  <c r="L5677" i="1"/>
  <c r="J5674" i="1"/>
  <c r="L5666" i="1"/>
  <c r="L5663" i="1"/>
  <c r="J5663" i="1"/>
  <c r="L5627" i="1"/>
  <c r="J5627" i="1"/>
  <c r="L5810" i="1"/>
  <c r="J5810" i="1"/>
  <c r="L5807" i="1"/>
  <c r="J5807" i="1"/>
  <c r="L5806" i="1"/>
  <c r="J5806" i="1"/>
  <c r="J5792" i="1"/>
  <c r="L5796" i="1"/>
  <c r="J5796" i="1"/>
  <c r="H4378" i="7"/>
  <c r="H4377" i="7"/>
  <c r="G4377" i="7"/>
  <c r="H4376" i="7"/>
  <c r="G4376" i="7"/>
  <c r="H4375" i="7"/>
  <c r="G4375" i="7"/>
  <c r="J5808" i="1"/>
  <c r="J5780" i="1"/>
  <c r="J5779" i="1"/>
  <c r="J5775" i="1"/>
  <c r="L5786" i="1"/>
  <c r="J5786" i="1"/>
  <c r="L5788" i="1"/>
  <c r="H4374" i="7"/>
  <c r="J5783" i="1"/>
  <c r="L5759" i="1"/>
  <c r="J5759" i="1"/>
  <c r="L5748" i="1"/>
  <c r="L5703" i="1"/>
  <c r="J5703" i="1"/>
  <c r="H4370" i="7"/>
  <c r="G4371" i="7"/>
  <c r="H4371" i="7"/>
  <c r="G4372" i="7"/>
  <c r="H4372" i="7"/>
  <c r="G4373" i="7"/>
  <c r="H4373" i="7"/>
  <c r="L5674" i="1"/>
  <c r="J5666" i="1"/>
  <c r="J5628" i="1"/>
  <c r="H4369" i="7"/>
  <c r="H4361" i="7"/>
  <c r="H4362" i="7"/>
  <c r="G4363" i="7"/>
  <c r="H4363" i="7"/>
  <c r="G4364" i="7"/>
  <c r="H4364" i="7"/>
  <c r="H4365" i="7"/>
  <c r="H4366" i="7"/>
  <c r="G4367" i="7"/>
  <c r="H4367" i="7"/>
  <c r="G4368" i="7"/>
  <c r="H4368" i="7"/>
  <c r="G5776" i="1"/>
  <c r="F5776" i="1"/>
  <c r="G4366" i="7" s="1"/>
  <c r="L5792" i="1"/>
  <c r="L5678" i="1"/>
  <c r="J5678" i="1"/>
  <c r="L5780" i="1"/>
  <c r="L5779" i="1"/>
  <c r="L5771" i="1" l="1"/>
  <c r="J5771" i="1"/>
  <c r="L5775" i="1"/>
  <c r="L5768" i="1"/>
  <c r="J5768" i="1"/>
  <c r="L5772" i="1"/>
  <c r="L5766" i="1"/>
  <c r="J5766" i="1"/>
  <c r="L5769" i="1"/>
  <c r="J5769" i="1"/>
  <c r="L5763" i="1"/>
  <c r="J5763" i="1"/>
  <c r="L5778" i="1"/>
  <c r="J5778" i="1"/>
  <c r="L5777" i="1"/>
  <c r="J5777" i="1"/>
  <c r="L5676" i="1"/>
  <c r="J5676" i="1"/>
  <c r="H4351" i="7" l="1"/>
  <c r="H4352" i="7"/>
  <c r="H4353" i="7"/>
  <c r="G4354" i="7"/>
  <c r="H4354" i="7"/>
  <c r="H4355" i="7"/>
  <c r="H4356" i="7"/>
  <c r="H4357" i="7"/>
  <c r="G4358" i="7"/>
  <c r="H4358" i="7"/>
  <c r="G4359" i="7"/>
  <c r="H4359" i="7"/>
  <c r="H4360" i="7"/>
  <c r="F5743" i="1"/>
  <c r="G5743" i="1"/>
  <c r="F5745" i="1"/>
  <c r="G4356" i="7" s="1"/>
  <c r="G5745" i="1"/>
  <c r="F5750" i="1"/>
  <c r="G5750" i="1"/>
  <c r="F5798" i="1"/>
  <c r="G5798" i="1"/>
  <c r="F5785" i="1"/>
  <c r="G4353" i="7" s="1"/>
  <c r="G5785" i="1"/>
  <c r="J5767" i="1"/>
  <c r="L5742" i="1"/>
  <c r="J5742" i="1"/>
  <c r="J5749" i="1"/>
  <c r="L5770" i="1"/>
  <c r="J5770" i="1"/>
  <c r="J5746" i="1"/>
  <c r="J5744" i="1"/>
  <c r="J5720" i="1"/>
  <c r="L5737" i="1"/>
  <c r="J5737" i="1"/>
  <c r="J5721" i="1"/>
  <c r="J5709" i="1"/>
  <c r="L5739" i="1"/>
  <c r="J5739" i="1"/>
  <c r="J5729" i="1"/>
  <c r="L5651" i="1"/>
  <c r="J5651" i="1"/>
  <c r="L5644" i="1"/>
  <c r="J5644" i="1"/>
  <c r="G4355" i="7" l="1"/>
  <c r="G4343" i="7"/>
  <c r="H4343" i="7"/>
  <c r="G4344" i="7"/>
  <c r="H4344" i="7"/>
  <c r="H4345" i="7"/>
  <c r="H4346" i="7"/>
  <c r="H4347" i="7"/>
  <c r="G4348" i="7"/>
  <c r="H4348" i="7"/>
  <c r="H4349" i="7"/>
  <c r="H4350" i="7"/>
  <c r="H4330" i="7"/>
  <c r="F5709" i="1"/>
  <c r="G5709" i="1"/>
  <c r="F5748" i="1"/>
  <c r="G4347" i="7" s="1"/>
  <c r="G5748" i="1"/>
  <c r="F5721" i="1"/>
  <c r="G5721" i="1"/>
  <c r="F5765" i="1"/>
  <c r="G5765" i="1"/>
  <c r="F5773" i="1"/>
  <c r="G5773" i="1"/>
  <c r="F5774" i="1"/>
  <c r="G4341" i="7" s="1"/>
  <c r="G5774" i="1"/>
  <c r="F5781" i="1"/>
  <c r="G4342" i="7" s="1"/>
  <c r="G5781" i="1"/>
  <c r="F5792" i="1"/>
  <c r="G4339" i="7" s="1"/>
  <c r="G5792" i="1"/>
  <c r="H4339" i="7"/>
  <c r="H4340" i="7"/>
  <c r="H4341" i="7"/>
  <c r="H4342" i="7"/>
  <c r="H4338" i="7"/>
  <c r="H4337" i="7"/>
  <c r="H4336" i="7"/>
  <c r="H4335" i="7"/>
  <c r="F5701" i="1"/>
  <c r="G5701" i="1"/>
  <c r="F5809" i="1"/>
  <c r="G5809" i="1"/>
  <c r="F5811" i="1"/>
  <c r="G4352" i="7" s="1"/>
  <c r="G5811" i="1"/>
  <c r="F5814" i="1"/>
  <c r="G5814" i="1"/>
  <c r="L5757" i="1"/>
  <c r="L5733" i="1"/>
  <c r="L5767" i="1"/>
  <c r="L5648" i="1"/>
  <c r="L5756" i="1"/>
  <c r="L5755" i="1"/>
  <c r="L5761" i="1"/>
  <c r="L5749" i="1"/>
  <c r="L5746" i="1"/>
  <c r="L5744" i="1"/>
  <c r="L5760" i="1"/>
  <c r="L5732" i="1"/>
  <c r="J5732" i="1"/>
  <c r="L5741" i="1"/>
  <c r="J5741" i="1"/>
  <c r="L5731" i="1"/>
  <c r="J5731" i="1"/>
  <c r="L5730" i="1"/>
  <c r="J5730" i="1"/>
  <c r="L5623" i="1"/>
  <c r="J5623" i="1"/>
  <c r="L5619" i="1"/>
  <c r="J5619" i="1"/>
  <c r="L5726" i="1"/>
  <c r="J5726" i="1"/>
  <c r="L5725" i="1"/>
  <c r="J5725" i="1"/>
  <c r="J5735" i="1"/>
  <c r="J5740" i="1"/>
  <c r="L5754" i="1"/>
  <c r="J5754" i="1"/>
  <c r="L5753" i="1"/>
  <c r="J5753" i="1"/>
  <c r="L5738" i="1"/>
  <c r="J5738" i="1"/>
  <c r="J5629" i="1"/>
  <c r="G4336" i="7" l="1"/>
  <c r="G4345" i="7"/>
  <c r="H4331" i="7"/>
  <c r="H4332" i="7"/>
  <c r="H4333" i="7"/>
  <c r="H4334" i="7"/>
  <c r="F5728" i="1"/>
  <c r="G4332" i="7" s="1"/>
  <c r="G5728" i="1"/>
  <c r="F5747" i="1"/>
  <c r="G4331" i="7" s="1"/>
  <c r="G5747" i="1"/>
  <c r="F5768" i="1"/>
  <c r="G5768" i="1"/>
  <c r="J5757" i="1"/>
  <c r="J5733" i="1"/>
  <c r="J5648" i="1"/>
  <c r="J5756" i="1"/>
  <c r="J5755" i="1"/>
  <c r="J5762" i="1"/>
  <c r="J5761" i="1"/>
  <c r="L5800" i="1"/>
  <c r="J5710" i="1"/>
  <c r="L5665" i="1"/>
  <c r="J5665" i="1"/>
  <c r="J5707" i="1"/>
  <c r="J5706" i="1"/>
  <c r="L5736" i="1"/>
  <c r="J5736" i="1"/>
  <c r="J5702" i="1"/>
  <c r="J5696" i="1"/>
  <c r="J5764" i="1"/>
  <c r="L5683" i="1"/>
  <c r="J5683" i="1"/>
  <c r="J5682" i="1"/>
  <c r="J5680" i="1"/>
  <c r="L5700" i="1"/>
  <c r="J5700" i="1"/>
  <c r="L5735" i="1"/>
  <c r="J5718" i="1"/>
  <c r="J5689" i="1"/>
  <c r="J5723" i="1"/>
  <c r="L5649" i="1"/>
  <c r="J5649" i="1"/>
  <c r="L5740" i="1"/>
  <c r="J5645" i="1"/>
  <c r="L5638" i="1"/>
  <c r="J5638" i="1"/>
  <c r="J5636" i="1"/>
  <c r="L5710" i="1" l="1"/>
  <c r="L5707" i="1"/>
  <c r="L5706" i="1"/>
  <c r="L5702" i="1"/>
  <c r="L5696" i="1"/>
  <c r="L5682" i="1"/>
  <c r="L5680" i="1"/>
  <c r="L5723" i="1"/>
  <c r="L5645" i="1"/>
  <c r="L5636" i="1"/>
  <c r="L5727" i="1"/>
  <c r="J5727" i="1"/>
  <c r="H3811" i="7"/>
  <c r="H3799" i="7"/>
  <c r="G3799" i="7"/>
  <c r="H3798" i="7"/>
  <c r="L5719" i="1"/>
  <c r="J5719" i="1"/>
  <c r="L5712" i="1"/>
  <c r="J5712" i="1"/>
  <c r="J5697" i="1"/>
  <c r="H4053" i="7" l="1"/>
  <c r="H4054" i="7"/>
  <c r="H4059" i="7"/>
  <c r="H4060" i="7"/>
  <c r="H4037" i="7"/>
  <c r="H4003" i="7"/>
  <c r="H4236" i="7"/>
  <c r="H4237" i="7"/>
  <c r="H4238" i="7"/>
  <c r="H4239" i="7"/>
  <c r="H4006" i="7"/>
  <c r="H4007" i="7"/>
  <c r="H3836" i="7"/>
  <c r="H3837" i="7"/>
  <c r="G4165" i="7"/>
  <c r="H4165" i="7"/>
  <c r="H4166" i="7"/>
  <c r="H4167" i="7"/>
  <c r="H4168" i="7"/>
  <c r="F5638" i="1"/>
  <c r="G5638" i="1"/>
  <c r="F5771" i="1"/>
  <c r="G5771" i="1"/>
  <c r="F5695" i="1"/>
  <c r="G5695" i="1"/>
  <c r="F5753" i="1"/>
  <c r="G4236" i="7" s="1"/>
  <c r="G5753" i="1"/>
  <c r="F5645" i="1"/>
  <c r="G5645" i="1"/>
  <c r="F5755" i="1"/>
  <c r="G5755" i="1"/>
  <c r="F5756" i="1"/>
  <c r="G5756" i="1"/>
  <c r="F5757" i="1"/>
  <c r="G5757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3592" i="7"/>
  <c r="H3592" i="7"/>
  <c r="G3593" i="7"/>
  <c r="H3593" i="7"/>
  <c r="H3594" i="7"/>
  <c r="G3602" i="7"/>
  <c r="H3602" i="7"/>
  <c r="H4035" i="7"/>
  <c r="H3788" i="7"/>
  <c r="G3789" i="7"/>
  <c r="H3789" i="7"/>
  <c r="G3790" i="7"/>
  <c r="H3790" i="7"/>
  <c r="G3791" i="7"/>
  <c r="H3791" i="7"/>
  <c r="H4155" i="7"/>
  <c r="H4156" i="7"/>
  <c r="H4157" i="7"/>
  <c r="H4160" i="7"/>
  <c r="H4107" i="7"/>
  <c r="H4210" i="7"/>
  <c r="F5718" i="1"/>
  <c r="G5718" i="1"/>
  <c r="F5735" i="1"/>
  <c r="G5735" i="1"/>
  <c r="F5660" i="1"/>
  <c r="G5660" i="1"/>
  <c r="F5742" i="1"/>
  <c r="G5742" i="1"/>
  <c r="F5740" i="1"/>
  <c r="G4157" i="7" s="1"/>
  <c r="G5740" i="1"/>
  <c r="F5741" i="1"/>
  <c r="G4160" i="7" s="1"/>
  <c r="G5741" i="1"/>
  <c r="F5685" i="1"/>
  <c r="G3788" i="7" s="1"/>
  <c r="G5685" i="1"/>
  <c r="F5730" i="1"/>
  <c r="G4054" i="7" s="1"/>
  <c r="G5730" i="1"/>
  <c r="F5731" i="1"/>
  <c r="G4059" i="7" s="1"/>
  <c r="G5731" i="1"/>
  <c r="F5732" i="1"/>
  <c r="G5732" i="1"/>
  <c r="F5733" i="1"/>
  <c r="G4053" i="7" s="1"/>
  <c r="G5733" i="1"/>
  <c r="F5727" i="1"/>
  <c r="G5727" i="1"/>
  <c r="F5627" i="1"/>
  <c r="G5627" i="1"/>
  <c r="F5712" i="1"/>
  <c r="G5712" i="1"/>
  <c r="F5762" i="1"/>
  <c r="G5762" i="1"/>
  <c r="F5719" i="1"/>
  <c r="G5719" i="1"/>
  <c r="F5629" i="1"/>
  <c r="F5644" i="1"/>
  <c r="F5723" i="1"/>
  <c r="F5739" i="1"/>
  <c r="F5759" i="1"/>
  <c r="G4003" i="7" s="1"/>
  <c r="F5697" i="1"/>
  <c r="F5704" i="1"/>
  <c r="F5711" i="1"/>
  <c r="F5648" i="1"/>
  <c r="F5710" i="1"/>
  <c r="G4167" i="7" s="1"/>
  <c r="F5696" i="1"/>
  <c r="G4327" i="7" s="1"/>
  <c r="F5769" i="1"/>
  <c r="F5702" i="1"/>
  <c r="G1625" i="7" s="1"/>
  <c r="F5734" i="1"/>
  <c r="G3798" i="7" s="1"/>
  <c r="F5800" i="1"/>
  <c r="G3811" i="7" s="1"/>
  <c r="F5806" i="1"/>
  <c r="F5738" i="1"/>
  <c r="G3955" i="7" s="1"/>
  <c r="F5687" i="1"/>
  <c r="F5754" i="1"/>
  <c r="F5651" i="1"/>
  <c r="F5726" i="1"/>
  <c r="F5619" i="1"/>
  <c r="F5623" i="1"/>
  <c r="F5764" i="1"/>
  <c r="F5760" i="1"/>
  <c r="G4325" i="7" s="1"/>
  <c r="F5744" i="1"/>
  <c r="G1626" i="7" s="1"/>
  <c r="F5746" i="1"/>
  <c r="F5665" i="1"/>
  <c r="F5780" i="1"/>
  <c r="G4168" i="7" s="1"/>
  <c r="F5797" i="1"/>
  <c r="F5799" i="1"/>
  <c r="F5770" i="1"/>
  <c r="F5676" i="1"/>
  <c r="F5777" i="1"/>
  <c r="G4155" i="7" s="1"/>
  <c r="F5729" i="1"/>
  <c r="F5778" i="1"/>
  <c r="G4156" i="7" s="1"/>
  <c r="F5737" i="1"/>
  <c r="G4326" i="7" s="1"/>
  <c r="F5767" i="1"/>
  <c r="F5688" i="1"/>
  <c r="G4335" i="7" s="1"/>
  <c r="F5666" i="1"/>
  <c r="F5674" i="1"/>
  <c r="F5751" i="1"/>
  <c r="G4349" i="7" s="1"/>
  <c r="F5758" i="1"/>
  <c r="G4346" i="7" s="1"/>
  <c r="F5763" i="1"/>
  <c r="F5766" i="1"/>
  <c r="F5786" i="1"/>
  <c r="F5779" i="1"/>
  <c r="F5796" i="1"/>
  <c r="F5803" i="1"/>
  <c r="F5678" i="1"/>
  <c r="F5703" i="1"/>
  <c r="G4360" i="7" s="1"/>
  <c r="F5772" i="1"/>
  <c r="F5789" i="1"/>
  <c r="G4369" i="7" s="1"/>
  <c r="F5775" i="1"/>
  <c r="F5793" i="1"/>
  <c r="G3836" i="7" s="1"/>
  <c r="F5708" i="1"/>
  <c r="G4365" i="7" s="1"/>
  <c r="F5802" i="1"/>
  <c r="G4362" i="7" s="1"/>
  <c r="F5663" i="1"/>
  <c r="F5686" i="1"/>
  <c r="G4370" i="7" s="1"/>
  <c r="F5783" i="1"/>
  <c r="F5782" i="1"/>
  <c r="G4374" i="7" s="1"/>
  <c r="F5784" i="1"/>
  <c r="G4007" i="7" s="1"/>
  <c r="F5787" i="1"/>
  <c r="F5788" i="1"/>
  <c r="F5791" i="1"/>
  <c r="F5794" i="1"/>
  <c r="F5808" i="1"/>
  <c r="G4166" i="7" s="1"/>
  <c r="F5795" i="1"/>
  <c r="G4378" i="7" s="1"/>
  <c r="F5813" i="1"/>
  <c r="G4340" i="7" s="1"/>
  <c r="F5677" i="1"/>
  <c r="F5722" i="1"/>
  <c r="G4357" i="7" s="1"/>
  <c r="F5752" i="1"/>
  <c r="G4350" i="7" s="1"/>
  <c r="F5790" i="1"/>
  <c r="G4380" i="7" s="1"/>
  <c r="F5801" i="1"/>
  <c r="G4383" i="7" s="1"/>
  <c r="F5812" i="1"/>
  <c r="G4361" i="7" s="1"/>
  <c r="F5816" i="1"/>
  <c r="F5817" i="1"/>
  <c r="F5819" i="1"/>
  <c r="G4338" i="7" s="1"/>
  <c r="F5820" i="1"/>
  <c r="F5821" i="1"/>
  <c r="G4385" i="7" s="1"/>
  <c r="F5822" i="1"/>
  <c r="G4386" i="7" s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29" i="1"/>
  <c r="G5644" i="1"/>
  <c r="G5723" i="1"/>
  <c r="G5739" i="1"/>
  <c r="G5759" i="1"/>
  <c r="G5697" i="1"/>
  <c r="G5704" i="1"/>
  <c r="G5711" i="1"/>
  <c r="G5648" i="1"/>
  <c r="G5710" i="1"/>
  <c r="G5696" i="1"/>
  <c r="G5769" i="1"/>
  <c r="G5702" i="1"/>
  <c r="G5734" i="1"/>
  <c r="G5800" i="1"/>
  <c r="G5806" i="1"/>
  <c r="G5738" i="1"/>
  <c r="G5687" i="1"/>
  <c r="G5754" i="1"/>
  <c r="G5651" i="1"/>
  <c r="G5726" i="1"/>
  <c r="G5619" i="1"/>
  <c r="G5623" i="1"/>
  <c r="G5764" i="1"/>
  <c r="G5760" i="1"/>
  <c r="G5744" i="1"/>
  <c r="G5746" i="1"/>
  <c r="G5665" i="1"/>
  <c r="G5780" i="1"/>
  <c r="G5797" i="1"/>
  <c r="G5799" i="1"/>
  <c r="G5770" i="1"/>
  <c r="G5676" i="1"/>
  <c r="G5777" i="1"/>
  <c r="G5729" i="1"/>
  <c r="G5778" i="1"/>
  <c r="G5737" i="1"/>
  <c r="G5767" i="1"/>
  <c r="G5688" i="1"/>
  <c r="G5666" i="1"/>
  <c r="G5674" i="1"/>
  <c r="G5751" i="1"/>
  <c r="G5758" i="1"/>
  <c r="G5763" i="1"/>
  <c r="G5766" i="1"/>
  <c r="G5786" i="1"/>
  <c r="G5779" i="1"/>
  <c r="G5796" i="1"/>
  <c r="G5803" i="1"/>
  <c r="G5678" i="1"/>
  <c r="G5703" i="1"/>
  <c r="G5772" i="1"/>
  <c r="G5789" i="1"/>
  <c r="G5775" i="1"/>
  <c r="G5793" i="1"/>
  <c r="G5708" i="1"/>
  <c r="G5802" i="1"/>
  <c r="G5663" i="1"/>
  <c r="G5686" i="1"/>
  <c r="G5783" i="1"/>
  <c r="G5782" i="1"/>
  <c r="G5784" i="1"/>
  <c r="G5787" i="1"/>
  <c r="G5788" i="1"/>
  <c r="G5791" i="1"/>
  <c r="G5794" i="1"/>
  <c r="G5808" i="1"/>
  <c r="G5795" i="1"/>
  <c r="G5813" i="1"/>
  <c r="G5677" i="1"/>
  <c r="G5722" i="1"/>
  <c r="G5752" i="1"/>
  <c r="G5790" i="1"/>
  <c r="G5801" i="1"/>
  <c r="G5812" i="1"/>
  <c r="G5816" i="1"/>
  <c r="G5817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818" i="1"/>
  <c r="L5659" i="1"/>
  <c r="J5659" i="1"/>
  <c r="J5717" i="1"/>
  <c r="L5658" i="1"/>
  <c r="J5658" i="1"/>
  <c r="L5705" i="1"/>
  <c r="J5694" i="1"/>
  <c r="J5635" i="1"/>
  <c r="L5698" i="1"/>
  <c r="J5698" i="1"/>
  <c r="H4209" i="7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700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818" i="1"/>
  <c r="J5671" i="1"/>
  <c r="J5670" i="1"/>
  <c r="L5664" i="1"/>
  <c r="L5662" i="1"/>
  <c r="L5661" i="1"/>
  <c r="J5652" i="1"/>
  <c r="J5669" i="1"/>
  <c r="L5647" i="1"/>
  <c r="L5654" i="1"/>
  <c r="L5653" i="1"/>
  <c r="L5639" i="1"/>
  <c r="L5668" i="1"/>
  <c r="L5689" i="1"/>
  <c r="L5681" i="1"/>
  <c r="L5684" i="1"/>
  <c r="J5642" i="1"/>
  <c r="H4151" i="7"/>
  <c r="G1495" i="7"/>
  <c r="H1495" i="7"/>
  <c r="G1496" i="7"/>
  <c r="H1496" i="7"/>
  <c r="G1576" i="7"/>
  <c r="H1576" i="7"/>
  <c r="G1624" i="7"/>
  <c r="H1624" i="7"/>
  <c r="H1625" i="7"/>
  <c r="H1626" i="7"/>
  <c r="G1627" i="7"/>
  <c r="H1627" i="7"/>
  <c r="G2109" i="7"/>
  <c r="H2109" i="7"/>
  <c r="L5694" i="1"/>
  <c r="L5635" i="1"/>
  <c r="L5669" i="1"/>
  <c r="L5670" i="1"/>
  <c r="L5720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3656" i="7"/>
  <c r="H3656" i="7"/>
  <c r="H3657" i="7"/>
  <c r="H3675" i="7"/>
  <c r="G3695" i="7"/>
  <c r="H3695" i="7"/>
  <c r="H3952" i="7"/>
  <c r="H3953" i="7"/>
  <c r="G3954" i="7"/>
  <c r="H3954" i="7"/>
  <c r="H3955" i="7"/>
  <c r="H4033" i="7"/>
  <c r="H4274" i="7"/>
  <c r="H4273" i="7"/>
  <c r="L5573" i="1"/>
  <c r="J5573" i="1"/>
  <c r="L5572" i="1"/>
  <c r="J5572" i="1"/>
  <c r="L5607" i="1"/>
  <c r="F5607" i="1" s="1"/>
  <c r="J5607" i="1"/>
  <c r="L5606" i="1"/>
  <c r="J5606" i="1"/>
  <c r="L5605" i="1"/>
  <c r="F5605" i="1" s="1"/>
  <c r="J5605" i="1"/>
  <c r="L5571" i="1"/>
  <c r="J5571" i="1"/>
  <c r="L5604" i="1"/>
  <c r="F5604" i="1" s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F5591" i="1" s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F5602" i="1" s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F5570" i="1" s="1"/>
  <c r="L5610" i="1"/>
  <c r="J5610" i="1"/>
  <c r="J5568" i="1"/>
  <c r="L5599" i="1"/>
  <c r="F5599" i="1" s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L5550" i="1"/>
  <c r="F5550" i="1" s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G5590" i="1" s="1"/>
  <c r="L5590" i="1"/>
  <c r="J5590" i="1"/>
  <c r="F5590" i="1" s="1"/>
  <c r="M5589" i="1"/>
  <c r="L5589" i="1"/>
  <c r="J5589" i="1"/>
  <c r="L5526" i="1"/>
  <c r="F5526" i="1" s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088" i="7"/>
  <c r="G4088" i="7"/>
  <c r="H4087" i="7"/>
  <c r="H4269" i="7"/>
  <c r="H4268" i="7"/>
  <c r="H4267" i="7"/>
  <c r="H4266" i="7"/>
  <c r="H4265" i="7"/>
  <c r="H4264" i="7"/>
  <c r="H4263" i="7"/>
  <c r="H4262" i="7"/>
  <c r="H4261" i="7"/>
  <c r="H4306" i="7"/>
  <c r="H4307" i="7"/>
  <c r="H4308" i="7"/>
  <c r="H4309" i="7"/>
  <c r="H4255" i="7"/>
  <c r="H4256" i="7"/>
  <c r="H4008" i="7"/>
  <c r="H4009" i="7"/>
  <c r="G4010" i="7"/>
  <c r="H4010" i="7"/>
  <c r="H4011" i="7"/>
  <c r="G5596" i="1"/>
  <c r="F5597" i="1"/>
  <c r="G5597" i="1"/>
  <c r="F5598" i="1"/>
  <c r="G5591" i="1"/>
  <c r="G5601" i="1"/>
  <c r="G5602" i="1"/>
  <c r="G5592" i="1"/>
  <c r="G5599" i="1"/>
  <c r="G5600" i="1"/>
  <c r="G5605" i="1"/>
  <c r="G5607" i="1"/>
  <c r="F5568" i="1"/>
  <c r="G5568" i="1"/>
  <c r="G5603" i="1"/>
  <c r="G5604" i="1"/>
  <c r="G5606" i="1"/>
  <c r="L5518" i="1"/>
  <c r="L5558" i="1"/>
  <c r="L5583" i="1"/>
  <c r="L5557" i="1"/>
  <c r="L5582" i="1"/>
  <c r="F5582" i="1" s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G5546" i="1" s="1"/>
  <c r="L5546" i="1"/>
  <c r="J5546" i="1"/>
  <c r="M5550" i="1"/>
  <c r="G5550" i="1" s="1"/>
  <c r="M5542" i="1"/>
  <c r="L5542" i="1"/>
  <c r="F5542" i="1" s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20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89" i="7"/>
  <c r="H4190" i="7"/>
  <c r="H4197" i="7"/>
  <c r="H3838" i="7"/>
  <c r="H3839" i="7"/>
  <c r="G3840" i="7"/>
  <c r="H3840" i="7"/>
  <c r="G3841" i="7"/>
  <c r="H3841" i="7"/>
  <c r="H4031" i="7"/>
  <c r="G4101" i="7"/>
  <c r="H4101" i="7"/>
  <c r="H4102" i="7"/>
  <c r="G4103" i="7"/>
  <c r="H4103" i="7"/>
  <c r="H4104" i="7"/>
  <c r="G5481" i="1"/>
  <c r="G5473" i="1"/>
  <c r="G5584" i="1"/>
  <c r="G5595" i="1"/>
  <c r="L5569" i="1"/>
  <c r="F5569" i="1" s="1"/>
  <c r="H3999" i="7"/>
  <c r="L5551" i="1"/>
  <c r="J5551" i="1"/>
  <c r="J5558" i="1"/>
  <c r="L5562" i="1"/>
  <c r="L5560" i="1"/>
  <c r="J5560" i="1"/>
  <c r="L5559" i="1"/>
  <c r="J5559" i="1"/>
  <c r="L5545" i="1"/>
  <c r="J5545" i="1"/>
  <c r="L5554" i="1"/>
  <c r="L5552" i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G5570" i="1"/>
  <c r="G5526" i="1"/>
  <c r="G5587" i="1"/>
  <c r="G5555" i="1"/>
  <c r="G5530" i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F5504" i="1" s="1"/>
  <c r="J5520" i="1"/>
  <c r="J5487" i="1"/>
  <c r="J5503" i="1"/>
  <c r="J5500" i="1"/>
  <c r="J5478" i="1"/>
  <c r="J5483" i="1"/>
  <c r="J5453" i="1"/>
  <c r="J5519" i="1"/>
  <c r="J5433" i="1"/>
  <c r="J5430" i="1"/>
  <c r="J5319" i="1"/>
  <c r="H4001" i="7"/>
  <c r="H4002" i="7"/>
  <c r="H3994" i="7"/>
  <c r="H3983" i="7"/>
  <c r="H3984" i="7"/>
  <c r="H3985" i="7"/>
  <c r="G3990" i="7"/>
  <c r="H3990" i="7"/>
  <c r="H4193" i="7"/>
  <c r="H4194" i="7"/>
  <c r="H4195" i="7"/>
  <c r="H4196" i="7"/>
  <c r="H4231" i="7"/>
  <c r="H4109" i="7"/>
  <c r="G5541" i="1"/>
  <c r="G5542" i="1"/>
  <c r="F5547" i="1"/>
  <c r="G5547" i="1"/>
  <c r="G5560" i="1"/>
  <c r="G5582" i="1"/>
  <c r="G5583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F5509" i="1" s="1"/>
  <c r="L5508" i="1"/>
  <c r="L5502" i="1"/>
  <c r="J5502" i="1"/>
  <c r="L5467" i="1"/>
  <c r="F5467" i="1" s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1429" i="7"/>
  <c r="H4282" i="7"/>
  <c r="H4281" i="7"/>
  <c r="L5512" i="1"/>
  <c r="L5507" i="1"/>
  <c r="J5493" i="1"/>
  <c r="J5508" i="1"/>
  <c r="F5508" i="1" s="1"/>
  <c r="J5494" i="1"/>
  <c r="L5489" i="1"/>
  <c r="J5469" i="1"/>
  <c r="L5487" i="1"/>
  <c r="L5463" i="1"/>
  <c r="L5461" i="1"/>
  <c r="H4329" i="7"/>
  <c r="G4329" i="7"/>
  <c r="H4328" i="7"/>
  <c r="G4328" i="7"/>
  <c r="H4327" i="7"/>
  <c r="H4326" i="7"/>
  <c r="H4325" i="7"/>
  <c r="H4324" i="7"/>
  <c r="G4324" i="7"/>
  <c r="H4323" i="7"/>
  <c r="G4323" i="7"/>
  <c r="F4323" i="7"/>
  <c r="H4322" i="7"/>
  <c r="F4322" i="7"/>
  <c r="H4321" i="7"/>
  <c r="F4321" i="7"/>
  <c r="H4320" i="7"/>
  <c r="G4320" i="7"/>
  <c r="F4320" i="7"/>
  <c r="H4319" i="7"/>
  <c r="H4318" i="7"/>
  <c r="F4318" i="7"/>
  <c r="H4317" i="7"/>
  <c r="F4317" i="7"/>
  <c r="H4316" i="7"/>
  <c r="F4316" i="7"/>
  <c r="H4315" i="7"/>
  <c r="F4315" i="7"/>
  <c r="H4314" i="7"/>
  <c r="H4313" i="7"/>
  <c r="F4313" i="7"/>
  <c r="H4312" i="7"/>
  <c r="F4312" i="7"/>
  <c r="H4311" i="7"/>
  <c r="F4311" i="7"/>
  <c r="H4310" i="7"/>
  <c r="F4310" i="7"/>
  <c r="L5483" i="1"/>
  <c r="L5448" i="1"/>
  <c r="J5448" i="1"/>
  <c r="L5457" i="1"/>
  <c r="J5443" i="1"/>
  <c r="L5464" i="1"/>
  <c r="L5460" i="1"/>
  <c r="F5460" i="1" s="1"/>
  <c r="O5468" i="1"/>
  <c r="L5436" i="1"/>
  <c r="J5426" i="1"/>
  <c r="J5413" i="1"/>
  <c r="J5404" i="1"/>
  <c r="L5405" i="1"/>
  <c r="L5430" i="1"/>
  <c r="H4086" i="7"/>
  <c r="J5382" i="1"/>
  <c r="H4192" i="7"/>
  <c r="H4191" i="7"/>
  <c r="L5493" i="1"/>
  <c r="J5472" i="1"/>
  <c r="L5471" i="1"/>
  <c r="J5471" i="1"/>
  <c r="L5469" i="1"/>
  <c r="P5504" i="1"/>
  <c r="O5504" i="1"/>
  <c r="O5487" i="1"/>
  <c r="J5451" i="1"/>
  <c r="O5448" i="1"/>
  <c r="L5443" i="1"/>
  <c r="O5464" i="1"/>
  <c r="G5464" i="1" s="1"/>
  <c r="O5460" i="1"/>
  <c r="O5470" i="1"/>
  <c r="J5415" i="1"/>
  <c r="L5426" i="1"/>
  <c r="O5413" i="1"/>
  <c r="G5413" i="1" s="1"/>
  <c r="L5413" i="1"/>
  <c r="L5404" i="1"/>
  <c r="O5430" i="1"/>
  <c r="H3792" i="7"/>
  <c r="H3793" i="7"/>
  <c r="H3796" i="7"/>
  <c r="H3797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131" i="7"/>
  <c r="H4136" i="7"/>
  <c r="G4137" i="7"/>
  <c r="H4137" i="7"/>
  <c r="G4138" i="7"/>
  <c r="H4138" i="7"/>
  <c r="H4143" i="7"/>
  <c r="H4142" i="7"/>
  <c r="H4141" i="7"/>
  <c r="H4140" i="7"/>
  <c r="G5508" i="1"/>
  <c r="G5509" i="1"/>
  <c r="G5480" i="1"/>
  <c r="F5510" i="1"/>
  <c r="G5510" i="1"/>
  <c r="G5387" i="1"/>
  <c r="L5486" i="1"/>
  <c r="L5477" i="1"/>
  <c r="L5476" i="1"/>
  <c r="J5476" i="1"/>
  <c r="L5475" i="1"/>
  <c r="J5475" i="1"/>
  <c r="F5475" i="1" s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230" i="7"/>
  <c r="H4108" i="7"/>
  <c r="H3964" i="7"/>
  <c r="H1380" i="7"/>
  <c r="H1381" i="7"/>
  <c r="H1426" i="7"/>
  <c r="H1427" i="7"/>
  <c r="H3737" i="7"/>
  <c r="H3738" i="7"/>
  <c r="H3764" i="7"/>
  <c r="H3765" i="7"/>
  <c r="H4159" i="7"/>
  <c r="H4158" i="7"/>
  <c r="F5503" i="1"/>
  <c r="G5503" i="1"/>
  <c r="G5456" i="1"/>
  <c r="G5460" i="1"/>
  <c r="G5467" i="1"/>
  <c r="F5453" i="1"/>
  <c r="G5453" i="1"/>
  <c r="F5319" i="1"/>
  <c r="G5319" i="1"/>
  <c r="H4300" i="7"/>
  <c r="G4300" i="7"/>
  <c r="H4299" i="7"/>
  <c r="G4299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F5444" i="1" s="1"/>
  <c r="L5410" i="1"/>
  <c r="L5408" i="1"/>
  <c r="L5399" i="1"/>
  <c r="L5289" i="1"/>
  <c r="L5390" i="1"/>
  <c r="L5389" i="1"/>
  <c r="L5435" i="1"/>
  <c r="L5417" i="1"/>
  <c r="J5465" i="1"/>
  <c r="J5477" i="1"/>
  <c r="J5414" i="1"/>
  <c r="J5411" i="1"/>
  <c r="F5411" i="1" s="1"/>
  <c r="J5462" i="1"/>
  <c r="J5425" i="1"/>
  <c r="J5402" i="1"/>
  <c r="J5450" i="1"/>
  <c r="J5429" i="1"/>
  <c r="J5280" i="1"/>
  <c r="J5446" i="1"/>
  <c r="F5446" i="1" s="1"/>
  <c r="J5410" i="1"/>
  <c r="J5408" i="1"/>
  <c r="J5442" i="1"/>
  <c r="J5289" i="1"/>
  <c r="J5390" i="1"/>
  <c r="J5389" i="1"/>
  <c r="J5386" i="1"/>
  <c r="J5381" i="1"/>
  <c r="J5445" i="1"/>
  <c r="J5432" i="1"/>
  <c r="H3735" i="7"/>
  <c r="H3998" i="7"/>
  <c r="H3997" i="7"/>
  <c r="G3997" i="7"/>
  <c r="H4154" i="7"/>
  <c r="H3996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1428" i="7"/>
  <c r="H1358" i="7"/>
  <c r="H1357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243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410" i="7"/>
  <c r="H3344" i="7"/>
  <c r="L5383" i="1"/>
  <c r="J5374" i="1"/>
  <c r="L5442" i="1"/>
  <c r="L5369" i="1"/>
  <c r="J5369" i="1"/>
  <c r="L5373" i="1"/>
  <c r="L5441" i="1"/>
  <c r="L5334" i="1"/>
  <c r="L5072" i="1"/>
  <c r="H4129" i="7"/>
  <c r="H4130" i="7"/>
  <c r="H3787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343" i="7"/>
  <c r="H4258" i="7"/>
  <c r="H4257" i="7"/>
  <c r="H4254" i="7"/>
  <c r="H4253" i="7"/>
  <c r="F4258" i="7"/>
  <c r="F4257" i="7"/>
  <c r="F4254" i="7"/>
  <c r="F4253" i="7"/>
  <c r="H4058" i="7"/>
  <c r="H4057" i="7"/>
  <c r="H4056" i="7"/>
  <c r="H4055" i="7"/>
  <c r="H4120" i="7"/>
  <c r="H4122" i="7"/>
  <c r="H4121" i="7"/>
  <c r="H4119" i="7"/>
  <c r="H4118" i="7"/>
  <c r="G4118" i="7"/>
  <c r="H4115" i="7"/>
  <c r="H4114" i="7"/>
  <c r="H4113" i="7"/>
  <c r="H4112" i="7"/>
  <c r="H4041" i="7"/>
  <c r="H4042" i="7"/>
  <c r="H4047" i="7"/>
  <c r="H4052" i="7"/>
  <c r="H3585" i="7"/>
  <c r="H3586" i="7"/>
  <c r="H3587" i="7"/>
  <c r="H3591" i="7"/>
  <c r="G3936" i="7"/>
  <c r="H3936" i="7"/>
  <c r="G3943" i="7"/>
  <c r="H3943" i="7"/>
  <c r="G3944" i="7"/>
  <c r="H3944" i="7"/>
  <c r="H3945" i="7"/>
  <c r="F5459" i="1"/>
  <c r="G5459" i="1"/>
  <c r="G5407" i="1"/>
  <c r="G5411" i="1"/>
  <c r="G5401" i="1"/>
  <c r="G5475" i="1"/>
  <c r="F5476" i="1"/>
  <c r="G5476" i="1"/>
  <c r="G5477" i="1"/>
  <c r="F5488" i="1"/>
  <c r="G4114" i="7" s="1"/>
  <c r="G5488" i="1"/>
  <c r="G5431" i="1"/>
  <c r="F5474" i="1"/>
  <c r="G5474" i="1"/>
  <c r="G5280" i="1"/>
  <c r="G5444" i="1"/>
  <c r="G5446" i="1"/>
  <c r="F5331" i="1"/>
  <c r="G3945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835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2233" i="7"/>
  <c r="L5297" i="1"/>
  <c r="O5428" i="1"/>
  <c r="O5365" i="1"/>
  <c r="M5365" i="1"/>
  <c r="J5354" i="1"/>
  <c r="J5372" i="1"/>
  <c r="P5356" i="1"/>
  <c r="O5356" i="1"/>
  <c r="F5560" i="1" l="1"/>
  <c r="F5587" i="1"/>
  <c r="G3709" i="7" s="1"/>
  <c r="F5546" i="1"/>
  <c r="F5555" i="1"/>
  <c r="F5583" i="1"/>
  <c r="F5541" i="1"/>
  <c r="F5557" i="1"/>
  <c r="G4048" i="7" s="1"/>
  <c r="F5415" i="1"/>
  <c r="G1380" i="7" s="1"/>
  <c r="G4108" i="7"/>
  <c r="G3985" i="7"/>
  <c r="F5554" i="1"/>
  <c r="F5558" i="1"/>
  <c r="F5584" i="1"/>
  <c r="G4330" i="7"/>
  <c r="F5407" i="1"/>
  <c r="F5456" i="1"/>
  <c r="F5463" i="1"/>
  <c r="F5530" i="1"/>
  <c r="F5603" i="1"/>
  <c r="F5606" i="1"/>
  <c r="G4006" i="7"/>
  <c r="G4237" i="7"/>
  <c r="F5552" i="1"/>
  <c r="G4109" i="7" s="1"/>
  <c r="F5410" i="1"/>
  <c r="F5464" i="1"/>
  <c r="F5551" i="1"/>
  <c r="G4239" i="7"/>
  <c r="G3837" i="7"/>
  <c r="G4035" i="7"/>
  <c r="G4060" i="7"/>
  <c r="G4037" i="7"/>
  <c r="F5477" i="1"/>
  <c r="F5077" i="1"/>
  <c r="G3591" i="7" s="1"/>
  <c r="F5473" i="1"/>
  <c r="G3839" i="7" s="1"/>
  <c r="F5556" i="1"/>
  <c r="F5413" i="1"/>
  <c r="G3765" i="7" s="1"/>
  <c r="G5504" i="1"/>
  <c r="F5493" i="1"/>
  <c r="G3792" i="7" s="1"/>
  <c r="F5601" i="1"/>
  <c r="F5480" i="1"/>
  <c r="F5280" i="1"/>
  <c r="G3587" i="7" s="1"/>
  <c r="F5595" i="1"/>
  <c r="G4190" i="7" s="1"/>
  <c r="F5481" i="1"/>
  <c r="G3838" i="7" s="1"/>
  <c r="G4097" i="7"/>
  <c r="F5408" i="1"/>
  <c r="G5556" i="1"/>
  <c r="G4049" i="7"/>
  <c r="G5408" i="1"/>
  <c r="G4230" i="7"/>
  <c r="G4194" i="7"/>
  <c r="G3994" i="7"/>
  <c r="G4191" i="7"/>
  <c r="G4142" i="7"/>
  <c r="F5422" i="1"/>
  <c r="F5385" i="1"/>
  <c r="G3835" i="7" s="1"/>
  <c r="H4095" i="7"/>
  <c r="J5325" i="1"/>
  <c r="J5276" i="1"/>
  <c r="J5346" i="1"/>
  <c r="H4164" i="7"/>
  <c r="H4163" i="7"/>
  <c r="H4162" i="7"/>
  <c r="H4161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153" i="7"/>
  <c r="H4152" i="7"/>
  <c r="H4150" i="7"/>
  <c r="G4150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4004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40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88" i="7"/>
  <c r="H4187" i="7"/>
  <c r="H4185" i="7"/>
  <c r="H4174" i="7"/>
  <c r="K4045" i="7"/>
  <c r="K4046" i="7"/>
  <c r="K3858" i="7"/>
  <c r="K3874" i="7"/>
  <c r="K4150" i="7"/>
  <c r="K4078" i="7"/>
  <c r="K3578" i="7"/>
  <c r="K3835" i="7"/>
  <c r="K3936" i="7"/>
  <c r="K3943" i="7"/>
  <c r="K3944" i="7"/>
  <c r="K3945" i="7"/>
  <c r="K3587" i="7"/>
  <c r="K3591" i="7"/>
  <c r="K4112" i="7"/>
  <c r="K4113" i="7"/>
  <c r="K4114" i="7"/>
  <c r="K4115" i="7"/>
  <c r="K4118" i="7"/>
  <c r="K4120" i="7"/>
  <c r="K4129" i="7"/>
  <c r="K4130" i="7"/>
  <c r="K4134" i="7"/>
  <c r="K3997" i="7"/>
  <c r="K4299" i="7"/>
  <c r="K4300" i="7"/>
  <c r="K3765" i="7"/>
  <c r="K4158" i="7"/>
  <c r="K1380" i="7"/>
  <c r="K3964" i="7"/>
  <c r="K4108" i="7"/>
  <c r="K4230" i="7"/>
  <c r="K4141" i="7"/>
  <c r="K4142" i="7"/>
  <c r="K4143" i="7"/>
  <c r="K4137" i="7"/>
  <c r="K4138" i="7"/>
  <c r="K3808" i="7"/>
  <c r="K3810" i="7"/>
  <c r="K3792" i="7"/>
  <c r="K3673" i="7"/>
  <c r="K4191" i="7"/>
  <c r="K4320" i="7"/>
  <c r="K4323" i="7"/>
  <c r="K4324" i="7"/>
  <c r="K4325" i="7"/>
  <c r="K4326" i="7"/>
  <c r="K4327" i="7"/>
  <c r="K4328" i="7"/>
  <c r="K4329" i="7"/>
  <c r="K3994" i="7"/>
  <c r="K3985" i="7"/>
  <c r="K3990" i="7"/>
  <c r="K4194" i="7"/>
  <c r="K4109" i="7"/>
  <c r="K4048" i="7"/>
  <c r="K4049" i="7"/>
  <c r="K4097" i="7"/>
  <c r="K3709" i="7"/>
  <c r="K4190" i="7"/>
  <c r="K4197" i="7"/>
  <c r="K3838" i="7"/>
  <c r="K3839" i="7"/>
  <c r="K3840" i="7"/>
  <c r="K3841" i="7"/>
  <c r="K4101" i="7"/>
  <c r="K4103" i="7"/>
  <c r="K4010" i="7"/>
  <c r="K4088" i="7"/>
  <c r="K3954" i="7"/>
  <c r="K3955" i="7"/>
  <c r="K3656" i="7"/>
  <c r="K3695" i="7"/>
  <c r="K1495" i="7"/>
  <c r="K1496" i="7"/>
  <c r="K1576" i="7"/>
  <c r="K1624" i="7"/>
  <c r="K1625" i="7"/>
  <c r="K1626" i="7"/>
  <c r="K1627" i="7"/>
  <c r="K2109" i="7"/>
  <c r="K4107" i="7"/>
  <c r="K3592" i="7"/>
  <c r="K3593" i="7"/>
  <c r="K3602" i="7"/>
  <c r="K4035" i="7"/>
  <c r="K3788" i="7"/>
  <c r="K3789" i="7"/>
  <c r="K3790" i="7"/>
  <c r="K3791" i="7"/>
  <c r="K4155" i="7"/>
  <c r="K4156" i="7"/>
  <c r="K4157" i="7"/>
  <c r="K4160" i="7"/>
  <c r="K4053" i="7"/>
  <c r="K4054" i="7"/>
  <c r="K4059" i="7"/>
  <c r="K4060" i="7"/>
  <c r="K4037" i="7"/>
  <c r="K4003" i="7"/>
  <c r="K4236" i="7"/>
  <c r="K4237" i="7"/>
  <c r="K4239" i="7"/>
  <c r="K4006" i="7"/>
  <c r="K4007" i="7"/>
  <c r="K3836" i="7"/>
  <c r="K3837" i="7"/>
  <c r="K4165" i="7"/>
  <c r="K4166" i="7"/>
  <c r="K4167" i="7"/>
  <c r="K4168" i="7"/>
  <c r="K3798" i="7"/>
  <c r="K3799" i="7"/>
  <c r="K3811" i="7"/>
  <c r="K4330" i="7"/>
  <c r="K4331" i="7"/>
  <c r="K4332" i="7"/>
  <c r="K4335" i="7"/>
  <c r="K4336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185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040" i="7" s="1"/>
  <c r="F5320" i="1"/>
  <c r="G4004" i="7" s="1"/>
  <c r="F5351" i="1"/>
  <c r="F5310" i="1"/>
  <c r="F5428" i="1"/>
  <c r="G4159" i="7" s="1"/>
  <c r="F5276" i="1"/>
  <c r="G1292" i="7" s="1"/>
  <c r="F5325" i="1"/>
  <c r="F5372" i="1"/>
  <c r="G4174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188" i="7" s="1"/>
  <c r="F5362" i="1"/>
  <c r="G3859" i="7" s="1"/>
  <c r="F5393" i="1"/>
  <c r="G4043" i="7" s="1"/>
  <c r="F5406" i="1"/>
  <c r="F5369" i="1"/>
  <c r="F5358" i="1"/>
  <c r="F5370" i="1"/>
  <c r="G4163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87" i="7" s="1"/>
  <c r="F5388" i="1"/>
  <c r="G3580" i="7" s="1"/>
  <c r="F5425" i="1"/>
  <c r="F5532" i="1"/>
  <c r="F5471" i="1"/>
  <c r="F5348" i="1"/>
  <c r="F5414" i="1"/>
  <c r="G3686" i="7" s="1"/>
  <c r="F5386" i="1"/>
  <c r="G3787" i="7" s="1"/>
  <c r="F5296" i="1"/>
  <c r="G4132" i="7" s="1"/>
  <c r="F5421" i="1"/>
  <c r="G4135" i="7" s="1"/>
  <c r="F5383" i="1"/>
  <c r="G3410" i="7" s="1"/>
  <c r="F5417" i="1"/>
  <c r="G4133" i="7" s="1"/>
  <c r="F5449" i="1"/>
  <c r="F5498" i="1"/>
  <c r="F5502" i="1"/>
  <c r="F5505" i="1"/>
  <c r="G4243" i="7" s="1"/>
  <c r="F5424" i="1"/>
  <c r="G3674" i="7" s="1"/>
  <c r="F5381" i="1"/>
  <c r="F5435" i="1"/>
  <c r="F5360" i="1"/>
  <c r="F5399" i="1"/>
  <c r="G3344" i="7" s="1"/>
  <c r="F5524" i="1"/>
  <c r="G1358" i="7" s="1"/>
  <c r="F5494" i="1"/>
  <c r="F5389" i="1"/>
  <c r="F5390" i="1"/>
  <c r="F5402" i="1"/>
  <c r="G3996" i="7" s="1"/>
  <c r="F5501" i="1"/>
  <c r="F5496" i="1"/>
  <c r="F5506" i="1"/>
  <c r="F5469" i="1"/>
  <c r="G4081" i="7" s="1"/>
  <c r="F5447" i="1"/>
  <c r="G3764" i="7" s="1"/>
  <c r="F5466" i="1"/>
  <c r="G3998" i="7" s="1"/>
  <c r="F5398" i="1"/>
  <c r="G3581" i="7" s="1"/>
  <c r="F5426" i="1"/>
  <c r="F5443" i="1"/>
  <c r="G4041" i="7" s="1"/>
  <c r="F5457" i="1"/>
  <c r="F5448" i="1"/>
  <c r="F5451" i="1"/>
  <c r="F5400" i="1"/>
  <c r="G3584" i="7" s="1"/>
  <c r="F5487" i="1"/>
  <c r="F5497" i="1"/>
  <c r="F5472" i="1"/>
  <c r="F5566" i="1"/>
  <c r="G4154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3585" i="7" s="1"/>
  <c r="F5482" i="1"/>
  <c r="F5489" i="1"/>
  <c r="F5534" i="1"/>
  <c r="F5437" i="1"/>
  <c r="G4086" i="7" s="1"/>
  <c r="F5433" i="1"/>
  <c r="F5436" i="1"/>
  <c r="F5519" i="1"/>
  <c r="F5483" i="1"/>
  <c r="G4314" i="7" s="1"/>
  <c r="F5495" i="1"/>
  <c r="G4319" i="7" s="1"/>
  <c r="F5544" i="1"/>
  <c r="F5522" i="1"/>
  <c r="G3793" i="7" s="1"/>
  <c r="F5439" i="1"/>
  <c r="G4094" i="7" s="1"/>
  <c r="F5478" i="1"/>
  <c r="F5517" i="1"/>
  <c r="F5500" i="1"/>
  <c r="F5511" i="1"/>
  <c r="F5543" i="1"/>
  <c r="F5521" i="1"/>
  <c r="F5515" i="1"/>
  <c r="G4281" i="7" s="1"/>
  <c r="F5514" i="1"/>
  <c r="F5518" i="1"/>
  <c r="F5403" i="1"/>
  <c r="G3964" i="7"/>
  <c r="G4141" i="7"/>
  <c r="G4143" i="7"/>
  <c r="F5525" i="1"/>
  <c r="F5452" i="1"/>
  <c r="G3737" i="7" s="1"/>
  <c r="F5531" i="1"/>
  <c r="G4310" i="7" s="1"/>
  <c r="F5520" i="1"/>
  <c r="F5523" i="1"/>
  <c r="F5434" i="1"/>
  <c r="F5533" i="1"/>
  <c r="F5539" i="1"/>
  <c r="G4282" i="7" s="1"/>
  <c r="F5562" i="1"/>
  <c r="G3796" i="7" s="1"/>
  <c r="F5516" i="1"/>
  <c r="F5490" i="1"/>
  <c r="G3663" i="7" s="1"/>
  <c r="F5528" i="1"/>
  <c r="F5553" i="1"/>
  <c r="G4312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208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804" i="1"/>
  <c r="F5815" i="1"/>
  <c r="G4337" i="7" s="1"/>
  <c r="F5689" i="1"/>
  <c r="G4033" i="7" s="1"/>
  <c r="F5641" i="1"/>
  <c r="F5681" i="1"/>
  <c r="F5720" i="1"/>
  <c r="F5736" i="1"/>
  <c r="F5633" i="1"/>
  <c r="F5630" i="1"/>
  <c r="F5724" i="1"/>
  <c r="F5640" i="1"/>
  <c r="F5652" i="1"/>
  <c r="F5655" i="1"/>
  <c r="F5664" i="1"/>
  <c r="F5700" i="1"/>
  <c r="G4031" i="7" s="1"/>
  <c r="F5656" i="1"/>
  <c r="F5634" i="1"/>
  <c r="F5637" i="1"/>
  <c r="F5694" i="1"/>
  <c r="F5705" i="1"/>
  <c r="F5807" i="1"/>
  <c r="F5810" i="1"/>
  <c r="F5624" i="1"/>
  <c r="F5622" i="1"/>
  <c r="F5626" i="1"/>
  <c r="G3952" i="7" s="1"/>
  <c r="F5646" i="1"/>
  <c r="F5631" i="1"/>
  <c r="G3675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011" i="7" s="1"/>
  <c r="F5650" i="1"/>
  <c r="G4009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008" i="7" s="1"/>
  <c r="F5692" i="1"/>
  <c r="F5621" i="1"/>
  <c r="G4322" i="7" s="1"/>
  <c r="F5682" i="1"/>
  <c r="G4317" i="7" s="1"/>
  <c r="F5683" i="1"/>
  <c r="G4316" i="7" s="1"/>
  <c r="F5662" i="1"/>
  <c r="F5680" i="1"/>
  <c r="G4042" i="7" s="1"/>
  <c r="F5671" i="1"/>
  <c r="F5818" i="1"/>
  <c r="F5690" i="1"/>
  <c r="F5628" i="1"/>
  <c r="G4321" i="7" s="1"/>
  <c r="F5636" i="1"/>
  <c r="G3953" i="7" s="1"/>
  <c r="F5649" i="1"/>
  <c r="G3657" i="7" s="1"/>
  <c r="F5725" i="1"/>
  <c r="F5706" i="1"/>
  <c r="G4161" i="7" s="1"/>
  <c r="F5707" i="1"/>
  <c r="F5749" i="1"/>
  <c r="G4122" i="7" s="1"/>
  <c r="F5693" i="1"/>
  <c r="F5761" i="1"/>
  <c r="G4151" i="7" s="1"/>
  <c r="F5698" i="1"/>
  <c r="G4209" i="7" s="1"/>
  <c r="F5805" i="1"/>
  <c r="G3594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85" i="7" s="1"/>
  <c r="G5286" i="1"/>
  <c r="G5287" i="1"/>
  <c r="G5288" i="1"/>
  <c r="G5299" i="1"/>
  <c r="G5301" i="1"/>
  <c r="G5291" i="1"/>
  <c r="G5322" i="1"/>
  <c r="G5300" i="1"/>
  <c r="G5335" i="1"/>
  <c r="G5312" i="1"/>
  <c r="G5450" i="1"/>
  <c r="K2233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040" i="7" s="1"/>
  <c r="G5320" i="1"/>
  <c r="K4004" i="7" s="1"/>
  <c r="G5351" i="1"/>
  <c r="G5310" i="1"/>
  <c r="G5428" i="1"/>
  <c r="K4159" i="7" s="1"/>
  <c r="G5276" i="1"/>
  <c r="K1292" i="7" s="1"/>
  <c r="G5325" i="1"/>
  <c r="G5372" i="1"/>
  <c r="K4174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162" i="7" s="1"/>
  <c r="G5379" i="1"/>
  <c r="G5290" i="1"/>
  <c r="K1293" i="7" s="1"/>
  <c r="G5442" i="1"/>
  <c r="K4095" i="7" s="1"/>
  <c r="G5412" i="1"/>
  <c r="K4188" i="7" s="1"/>
  <c r="G5362" i="1"/>
  <c r="K3859" i="7" s="1"/>
  <c r="G5393" i="1"/>
  <c r="K4043" i="7" s="1"/>
  <c r="G5406" i="1"/>
  <c r="G5369" i="1"/>
  <c r="G5358" i="1"/>
  <c r="G5370" i="1"/>
  <c r="K4163" i="7" s="1"/>
  <c r="G5292" i="1"/>
  <c r="G5350" i="1"/>
  <c r="G5499" i="1"/>
  <c r="K4258" i="7" s="1"/>
  <c r="G5419" i="1"/>
  <c r="G5397" i="1"/>
  <c r="K4044" i="7" s="1"/>
  <c r="G5458" i="1"/>
  <c r="G5334" i="1"/>
  <c r="G5441" i="1"/>
  <c r="G5289" i="1"/>
  <c r="K1282" i="7" s="1"/>
  <c r="G5374" i="1"/>
  <c r="G5384" i="1"/>
  <c r="K4187" i="7" s="1"/>
  <c r="G5388" i="1"/>
  <c r="K3580" i="7" s="1"/>
  <c r="G5425" i="1"/>
  <c r="G5532" i="1"/>
  <c r="G5471" i="1"/>
  <c r="G5348" i="1"/>
  <c r="G5414" i="1"/>
  <c r="K3686" i="7" s="1"/>
  <c r="G5386" i="1"/>
  <c r="K3787" i="7" s="1"/>
  <c r="G5296" i="1"/>
  <c r="K4132" i="7" s="1"/>
  <c r="G5421" i="1"/>
  <c r="K4135" i="7" s="1"/>
  <c r="G5383" i="1"/>
  <c r="K3410" i="7" s="1"/>
  <c r="G5417" i="1"/>
  <c r="K4133" i="7" s="1"/>
  <c r="G5449" i="1"/>
  <c r="G5498" i="1"/>
  <c r="K3976" i="7" s="1"/>
  <c r="G5502" i="1"/>
  <c r="G5505" i="1"/>
  <c r="K4243" i="7" s="1"/>
  <c r="G5424" i="1"/>
  <c r="K3674" i="7" s="1"/>
  <c r="G5381" i="1"/>
  <c r="G5435" i="1"/>
  <c r="G5360" i="1"/>
  <c r="G5399" i="1"/>
  <c r="K3344" i="7" s="1"/>
  <c r="G5524" i="1"/>
  <c r="K1358" i="7" s="1"/>
  <c r="G5494" i="1"/>
  <c r="G5389" i="1"/>
  <c r="G5390" i="1"/>
  <c r="G5402" i="1"/>
  <c r="K3996" i="7" s="1"/>
  <c r="G5501" i="1"/>
  <c r="K3735" i="7" s="1"/>
  <c r="G5496" i="1"/>
  <c r="G5506" i="1"/>
  <c r="G5469" i="1"/>
  <c r="K4081" i="7" s="1"/>
  <c r="G5447" i="1"/>
  <c r="K3764" i="7" s="1"/>
  <c r="G5466" i="1"/>
  <c r="K3998" i="7" s="1"/>
  <c r="G5398" i="1"/>
  <c r="K3581" i="7" s="1"/>
  <c r="G5426" i="1"/>
  <c r="G5443" i="1"/>
  <c r="K4041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154" i="7" s="1"/>
  <c r="G5559" i="1"/>
  <c r="G5423" i="1"/>
  <c r="K3676" i="7" s="1"/>
  <c r="G5507" i="1"/>
  <c r="G5470" i="1"/>
  <c r="K4136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3585" i="7" s="1"/>
  <c r="G5482" i="1"/>
  <c r="G5489" i="1"/>
  <c r="K4064" i="7" s="1"/>
  <c r="G5534" i="1"/>
  <c r="G5437" i="1"/>
  <c r="K4086" i="7" s="1"/>
  <c r="G5433" i="1"/>
  <c r="G5436" i="1"/>
  <c r="G5519" i="1"/>
  <c r="K4056" i="7" s="1"/>
  <c r="G5483" i="1"/>
  <c r="K4314" i="7" s="1"/>
  <c r="G5495" i="1"/>
  <c r="K4319" i="7" s="1"/>
  <c r="G5544" i="1"/>
  <c r="G5522" i="1"/>
  <c r="K3793" i="7" s="1"/>
  <c r="G5439" i="1"/>
  <c r="K4094" i="7" s="1"/>
  <c r="G5478" i="1"/>
  <c r="G5517" i="1"/>
  <c r="G5500" i="1"/>
  <c r="G5511" i="1"/>
  <c r="G5543" i="1"/>
  <c r="K4066" i="7" s="1"/>
  <c r="G5521" i="1"/>
  <c r="G5515" i="1"/>
  <c r="K4281" i="7" s="1"/>
  <c r="G5514" i="1"/>
  <c r="G5518" i="1"/>
  <c r="G5403" i="1"/>
  <c r="G5525" i="1"/>
  <c r="G5452" i="1"/>
  <c r="K3737" i="7" s="1"/>
  <c r="G5531" i="1"/>
  <c r="K4310" i="7" s="1"/>
  <c r="G5520" i="1"/>
  <c r="G5523" i="1"/>
  <c r="K4257" i="7" s="1"/>
  <c r="G5434" i="1"/>
  <c r="K3733" i="7" s="1"/>
  <c r="G5533" i="1"/>
  <c r="G5539" i="1"/>
  <c r="K4282" i="7" s="1"/>
  <c r="G5562" i="1"/>
  <c r="K3796" i="7" s="1"/>
  <c r="G5516" i="1"/>
  <c r="G5490" i="1"/>
  <c r="K3663" i="7" s="1"/>
  <c r="G5528" i="1"/>
  <c r="G5553" i="1"/>
  <c r="K4312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208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804" i="1"/>
  <c r="G5815" i="1"/>
  <c r="K4238" i="7" s="1"/>
  <c r="G5689" i="1"/>
  <c r="K4033" i="7" s="1"/>
  <c r="G5641" i="1"/>
  <c r="G5681" i="1"/>
  <c r="G5720" i="1"/>
  <c r="G5736" i="1"/>
  <c r="K4189" i="7" s="1"/>
  <c r="G5633" i="1"/>
  <c r="G5630" i="1"/>
  <c r="G5724" i="1"/>
  <c r="K4210" i="7" s="1"/>
  <c r="G5640" i="1"/>
  <c r="G5652" i="1"/>
  <c r="G5655" i="1"/>
  <c r="G5664" i="1"/>
  <c r="G5700" i="1"/>
  <c r="K4031" i="7" s="1"/>
  <c r="G5656" i="1"/>
  <c r="G5634" i="1"/>
  <c r="G5637" i="1"/>
  <c r="G5694" i="1"/>
  <c r="G5705" i="1"/>
  <c r="G5807" i="1"/>
  <c r="G5810" i="1"/>
  <c r="G5624" i="1"/>
  <c r="G5622" i="1"/>
  <c r="G5626" i="1"/>
  <c r="K3952" i="7" s="1"/>
  <c r="G5646" i="1"/>
  <c r="G5631" i="1"/>
  <c r="K3675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011" i="7" s="1"/>
  <c r="G5650" i="1"/>
  <c r="K4009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008" i="7" s="1"/>
  <c r="G5692" i="1"/>
  <c r="K4102" i="7" s="1"/>
  <c r="G5621" i="1"/>
  <c r="K4322" i="7" s="1"/>
  <c r="G5682" i="1"/>
  <c r="K4317" i="7" s="1"/>
  <c r="G5683" i="1"/>
  <c r="K4316" i="7" s="1"/>
  <c r="G5662" i="1"/>
  <c r="G5680" i="1"/>
  <c r="K4042" i="7" s="1"/>
  <c r="G5671" i="1"/>
  <c r="G5818" i="1"/>
  <c r="G5690" i="1"/>
  <c r="G5628" i="1"/>
  <c r="K4321" i="7" s="1"/>
  <c r="G5636" i="1"/>
  <c r="K3953" i="7" s="1"/>
  <c r="G5649" i="1"/>
  <c r="K3657" i="7" s="1"/>
  <c r="G5725" i="1"/>
  <c r="G5706" i="1"/>
  <c r="K4161" i="7" s="1"/>
  <c r="G5707" i="1"/>
  <c r="G5749" i="1"/>
  <c r="K4122" i="7" s="1"/>
  <c r="G5693" i="1"/>
  <c r="G5761" i="1"/>
  <c r="K4151" i="7" s="1"/>
  <c r="G5698" i="1"/>
  <c r="K4209" i="7" s="1"/>
  <c r="G5805" i="1"/>
  <c r="K3594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K4337" i="7" l="1"/>
  <c r="G4238" i="7"/>
  <c r="G4189" i="7"/>
  <c r="G4197" i="7"/>
  <c r="G4102" i="7"/>
  <c r="G4267" i="7"/>
  <c r="K4052" i="7"/>
  <c r="G4052" i="7"/>
  <c r="K4265" i="7"/>
  <c r="K4272" i="7"/>
  <c r="G1429" i="7"/>
  <c r="K4313" i="7"/>
  <c r="G4313" i="7"/>
  <c r="G4047" i="7"/>
  <c r="K4047" i="7"/>
  <c r="K3984" i="7"/>
  <c r="K4269" i="7"/>
  <c r="K4268" i="7"/>
  <c r="K4318" i="7"/>
  <c r="G1357" i="7"/>
  <c r="G4104" i="7"/>
  <c r="K1429" i="7"/>
  <c r="K3662" i="7"/>
  <c r="K4104" i="7"/>
  <c r="K4131" i="7"/>
  <c r="G4268" i="7"/>
  <c r="G4318" i="7"/>
  <c r="K4261" i="7"/>
  <c r="K4274" i="7"/>
  <c r="G3984" i="7"/>
  <c r="G4274" i="7"/>
  <c r="K4253" i="7"/>
  <c r="K3797" i="7"/>
  <c r="K4231" i="7"/>
  <c r="K3710" i="7"/>
  <c r="K4100" i="7"/>
  <c r="K4266" i="7"/>
  <c r="K1426" i="7"/>
  <c r="K3983" i="7"/>
  <c r="K1357" i="7"/>
  <c r="K4001" i="7"/>
  <c r="K4315" i="7"/>
  <c r="G4265" i="7"/>
  <c r="G4261" i="7"/>
  <c r="G4272" i="7"/>
  <c r="G4311" i="7"/>
  <c r="G4087" i="7"/>
  <c r="G3797" i="7"/>
  <c r="G4257" i="7"/>
  <c r="G4001" i="7"/>
  <c r="G4315" i="7"/>
  <c r="K4153" i="7"/>
  <c r="K4164" i="7"/>
  <c r="K4264" i="7"/>
  <c r="K4099" i="7"/>
  <c r="K4119" i="7"/>
  <c r="K4002" i="7"/>
  <c r="G3710" i="7"/>
  <c r="G4100" i="7"/>
  <c r="G4266" i="7"/>
  <c r="G1426" i="7"/>
  <c r="G3983" i="7"/>
  <c r="G3981" i="7"/>
  <c r="G4231" i="7"/>
  <c r="G4002" i="7"/>
  <c r="G4269" i="7"/>
  <c r="G4153" i="7"/>
  <c r="G4164" i="7"/>
  <c r="G4264" i="7"/>
  <c r="G4099" i="7"/>
  <c r="G4119" i="7"/>
  <c r="K4311" i="7"/>
  <c r="K4087" i="7"/>
  <c r="G3662" i="7"/>
  <c r="G4092" i="7"/>
  <c r="G4253" i="7"/>
  <c r="G3975" i="7"/>
  <c r="K3975" i="7"/>
  <c r="K4256" i="7"/>
  <c r="G4131" i="7"/>
  <c r="G4255" i="7"/>
  <c r="G4136" i="7"/>
  <c r="G4256" i="7"/>
  <c r="K4255" i="7"/>
  <c r="K4152" i="7"/>
  <c r="G4152" i="7"/>
  <c r="G3999" i="7"/>
  <c r="K3999" i="7"/>
  <c r="G3738" i="7"/>
  <c r="G4066" i="7"/>
  <c r="G4064" i="7"/>
  <c r="G4065" i="7"/>
  <c r="G4063" i="7"/>
  <c r="K3738" i="7"/>
  <c r="K1428" i="7"/>
  <c r="G1428" i="7"/>
  <c r="G3733" i="7"/>
  <c r="G3735" i="7"/>
  <c r="G4056" i="7"/>
  <c r="G3808" i="7"/>
  <c r="G3988" i="7"/>
  <c r="G3673" i="7"/>
  <c r="G4140" i="7"/>
  <c r="G3986" i="7"/>
  <c r="K4077" i="7"/>
  <c r="G4077" i="7"/>
  <c r="K4121" i="7"/>
  <c r="K4192" i="7"/>
  <c r="G4121" i="7"/>
  <c r="G4192" i="7"/>
  <c r="K4055" i="7"/>
  <c r="K3977" i="7"/>
  <c r="G3977" i="7"/>
  <c r="K4057" i="7"/>
  <c r="G3586" i="7"/>
  <c r="K3586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254" i="7"/>
  <c r="G3716" i="7"/>
  <c r="G3714" i="7"/>
  <c r="G4254" i="7"/>
  <c r="G4258" i="7"/>
  <c r="F5222" i="1"/>
  <c r="G2233" i="7"/>
  <c r="G4044" i="7"/>
  <c r="F5303" i="1"/>
  <c r="F5189" i="1"/>
  <c r="F5020" i="1"/>
  <c r="G4162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69" i="7"/>
  <c r="G4170" i="7"/>
  <c r="H4170" i="7"/>
  <c r="G4171" i="7"/>
  <c r="H4171" i="7"/>
  <c r="G4173" i="7"/>
  <c r="H4173" i="7"/>
  <c r="J5225" i="1"/>
  <c r="J5220" i="1"/>
  <c r="J5211" i="1"/>
  <c r="H3414" i="7"/>
  <c r="J5199" i="1"/>
  <c r="J5203" i="1"/>
  <c r="J5198" i="1"/>
  <c r="M5170" i="1"/>
  <c r="J5150" i="1"/>
  <c r="M5139" i="1"/>
  <c r="J5109" i="1"/>
  <c r="J4995" i="1"/>
  <c r="H4242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4248" i="7"/>
  <c r="H4249" i="7"/>
  <c r="H4250" i="7"/>
  <c r="H4251" i="7"/>
  <c r="G4252" i="7"/>
  <c r="H4252" i="7"/>
  <c r="G4246" i="7"/>
  <c r="H4246" i="7"/>
  <c r="G4247" i="7"/>
  <c r="H4247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2255" i="7"/>
  <c r="G2255" i="7"/>
  <c r="H2253" i="7"/>
  <c r="G2253" i="7"/>
  <c r="H2234" i="7"/>
  <c r="G2234" i="7"/>
  <c r="H3343" i="7"/>
  <c r="H3215" i="7"/>
  <c r="H3214" i="7"/>
  <c r="G4186" i="7" l="1"/>
  <c r="G4107" i="7"/>
  <c r="G4172" i="7"/>
  <c r="G4210" i="7"/>
  <c r="G4073" i="7"/>
  <c r="G3972" i="7"/>
  <c r="H4244" i="7"/>
  <c r="H4245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4021" i="7"/>
  <c r="G4022" i="7"/>
  <c r="H4022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41" i="7"/>
  <c r="L4932" i="1"/>
  <c r="J4932" i="1"/>
  <c r="H3931" i="7"/>
  <c r="H3930" i="7"/>
  <c r="H3929" i="7"/>
  <c r="H3928" i="7"/>
  <c r="H4128" i="7"/>
  <c r="H4126" i="7"/>
  <c r="G4126" i="7"/>
  <c r="H4125" i="7"/>
  <c r="G4125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4280" i="7"/>
  <c r="H4279" i="7"/>
  <c r="H4278" i="7"/>
  <c r="H4277" i="7"/>
  <c r="G4127" i="7" l="1"/>
  <c r="G3809" i="7"/>
  <c r="F5078" i="1"/>
  <c r="G3939" i="7" s="1"/>
  <c r="F5181" i="1"/>
  <c r="G3805" i="7" s="1"/>
  <c r="H4020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3725" i="7"/>
  <c r="G3726" i="7"/>
  <c r="H3726" i="7"/>
  <c r="G3732" i="7"/>
  <c r="H3732" i="7"/>
  <c r="H3773" i="7"/>
  <c r="L5041" i="1"/>
  <c r="J5041" i="1"/>
  <c r="J5065" i="1"/>
  <c r="H3766" i="7"/>
  <c r="H4039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4039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899" i="7"/>
  <c r="H3900" i="7"/>
  <c r="H3901" i="7"/>
  <c r="H3902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4038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40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235" i="7"/>
  <c r="H4233" i="7"/>
  <c r="G4233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205" i="7"/>
  <c r="H4204" i="7"/>
  <c r="H4203" i="7"/>
  <c r="H4202" i="7"/>
  <c r="J4966" i="1"/>
  <c r="O4988" i="1"/>
  <c r="L4988" i="1"/>
  <c r="J4988" i="1"/>
  <c r="J5013" i="1"/>
  <c r="J4591" i="1"/>
  <c r="H3696" i="7"/>
  <c r="H3697" i="7"/>
  <c r="G3698" i="7"/>
  <c r="H3698" i="7"/>
  <c r="G3713" i="7"/>
  <c r="H3713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146" i="7"/>
  <c r="G4146" i="7"/>
  <c r="H4145" i="7"/>
  <c r="H4144" i="7"/>
  <c r="H4139" i="7"/>
  <c r="G4139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144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4005" i="7" s="1"/>
  <c r="H4005" i="7"/>
  <c r="J4510" i="1"/>
  <c r="J4746" i="1"/>
  <c r="F4746" i="1" s="1"/>
  <c r="H3922" i="7"/>
  <c r="J4382" i="1"/>
  <c r="F4382" i="1" s="1"/>
  <c r="O4959" i="1"/>
  <c r="M4959" i="1"/>
  <c r="M4113" i="1"/>
  <c r="L4113" i="1"/>
  <c r="F4113" i="1" s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85" i="7"/>
  <c r="G4085" i="7"/>
  <c r="H4084" i="7"/>
  <c r="G4084" i="7"/>
  <c r="H4062" i="7"/>
  <c r="G4062" i="7"/>
  <c r="H4061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3834" i="7"/>
  <c r="H4148" i="7"/>
  <c r="J4274" i="1"/>
  <c r="L4805" i="1"/>
  <c r="L4339" i="1"/>
  <c r="O4128" i="1"/>
  <c r="G4128" i="1" s="1"/>
  <c r="O4509" i="1"/>
  <c r="L4129" i="1"/>
  <c r="F4129" i="1" s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232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960" i="1"/>
  <c r="F5257" i="1"/>
  <c r="G4123" i="7" s="1"/>
  <c r="F4992" i="1"/>
  <c r="F3896" i="1"/>
  <c r="F3903" i="1"/>
  <c r="F4039" i="1"/>
  <c r="F4985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82" i="1"/>
  <c r="F4905" i="1"/>
  <c r="F3796" i="1"/>
  <c r="F3817" i="1"/>
  <c r="F5017" i="1"/>
  <c r="F4971" i="1"/>
  <c r="F4656" i="1"/>
  <c r="F5053" i="1"/>
  <c r="F5208" i="1"/>
  <c r="G4061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3696" i="7" s="1"/>
  <c r="F4977" i="1"/>
  <c r="G4204" i="7" s="1"/>
  <c r="F5200" i="1"/>
  <c r="F5066" i="1"/>
  <c r="F5197" i="1"/>
  <c r="F5227" i="1"/>
  <c r="F5039" i="1"/>
  <c r="G4235" i="7" s="1"/>
  <c r="F5168" i="1"/>
  <c r="F5040" i="1"/>
  <c r="G2819" i="7" s="1"/>
  <c r="F5070" i="1"/>
  <c r="G2540" i="7" s="1"/>
  <c r="F5245" i="1"/>
  <c r="F5242" i="1"/>
  <c r="F4979" i="1"/>
  <c r="G3854" i="7" s="1"/>
  <c r="F5065" i="1"/>
  <c r="G4145" i="7" s="1"/>
  <c r="F4980" i="1"/>
  <c r="G4203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3697" i="7" s="1"/>
  <c r="F4932" i="1"/>
  <c r="G4240" i="7" s="1"/>
  <c r="F5045" i="1"/>
  <c r="G3853" i="7" s="1"/>
  <c r="F5008" i="1"/>
  <c r="G4205" i="7" s="1"/>
  <c r="F5121" i="1"/>
  <c r="G3730" i="7" s="1"/>
  <c r="F5046" i="1"/>
  <c r="G3852" i="7" s="1"/>
  <c r="F5057" i="1"/>
  <c r="G2541" i="7" s="1"/>
  <c r="F5266" i="1"/>
  <c r="G4038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900" i="7" s="1"/>
  <c r="F5041" i="1"/>
  <c r="G4202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899" i="7" s="1"/>
  <c r="F5137" i="1"/>
  <c r="G4068" i="7" s="1"/>
  <c r="F5173" i="1"/>
  <c r="G3341" i="7" s="1"/>
  <c r="F5130" i="1"/>
  <c r="F5007" i="1"/>
  <c r="G3913" i="7" s="1"/>
  <c r="F5085" i="1"/>
  <c r="G3773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902" i="7" s="1"/>
  <c r="F5169" i="1"/>
  <c r="G4071" i="7" s="1"/>
  <c r="F5256" i="1"/>
  <c r="G4280" i="7" s="1"/>
  <c r="F5193" i="1"/>
  <c r="G4279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930" i="7" s="1"/>
  <c r="F5158" i="1"/>
  <c r="G4128" i="7" s="1"/>
  <c r="F4981" i="1"/>
  <c r="G4241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4277" i="7" s="1"/>
  <c r="F5272" i="1"/>
  <c r="G3938" i="7" s="1"/>
  <c r="F5138" i="1"/>
  <c r="G3937" i="7" s="1"/>
  <c r="F5153" i="1"/>
  <c r="G3894" i="7" s="1"/>
  <c r="F5196" i="1"/>
  <c r="G3901" i="7" s="1"/>
  <c r="F5229" i="1"/>
  <c r="G4074" i="7" s="1"/>
  <c r="F5206" i="1"/>
  <c r="G3268" i="7" s="1"/>
  <c r="F5225" i="1"/>
  <c r="G3909" i="7" s="1"/>
  <c r="F5068" i="1"/>
  <c r="G3633" i="7" s="1"/>
  <c r="F5141" i="1"/>
  <c r="G3725" i="7" s="1"/>
  <c r="F5185" i="1"/>
  <c r="F5187" i="1"/>
  <c r="F5211" i="1"/>
  <c r="G4069" i="7" s="1"/>
  <c r="F5261" i="1"/>
  <c r="G4278" i="7" s="1"/>
  <c r="F5274" i="1"/>
  <c r="G3617" i="7" s="1"/>
  <c r="F5248" i="1"/>
  <c r="G3959" i="7" s="1"/>
  <c r="F4995" i="1"/>
  <c r="G4242" i="7" s="1"/>
  <c r="F5214" i="1"/>
  <c r="G4245" i="7" s="1"/>
  <c r="F5224" i="1"/>
  <c r="G4248" i="7" s="1"/>
  <c r="F5231" i="1"/>
  <c r="F5232" i="1"/>
  <c r="G4251" i="7" s="1"/>
  <c r="F5230" i="1"/>
  <c r="G3929" i="7" s="1"/>
  <c r="F5244" i="1"/>
  <c r="G3924" i="7" s="1"/>
  <c r="F5249" i="1"/>
  <c r="F5258" i="1"/>
  <c r="F5239" i="1"/>
  <c r="F5199" i="1"/>
  <c r="F5253" i="1"/>
  <c r="F5262" i="1"/>
  <c r="F5267" i="1"/>
  <c r="G4169" i="7" s="1"/>
  <c r="F5006" i="1"/>
  <c r="F5120" i="1"/>
  <c r="F5329" i="1"/>
  <c r="G3623" i="7" s="1"/>
  <c r="F5149" i="1"/>
  <c r="G3624" i="7" s="1"/>
  <c r="F5191" i="1"/>
  <c r="G4244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234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4303" i="7"/>
  <c r="H4304" i="7"/>
  <c r="H4305" i="7"/>
  <c r="H4301" i="7"/>
  <c r="H43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000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414" i="7" l="1"/>
  <c r="G3965" i="7"/>
  <c r="G4080" i="7"/>
  <c r="G4014" i="7"/>
  <c r="G4987" i="1"/>
  <c r="F4477" i="1"/>
  <c r="G3215" i="7"/>
  <c r="G3214" i="7"/>
  <c r="G3865" i="7"/>
  <c r="G3343" i="7"/>
  <c r="G4249" i="7"/>
  <c r="G4250" i="7"/>
  <c r="G4067" i="7"/>
  <c r="G3931" i="7"/>
  <c r="G3928" i="7"/>
  <c r="G4020" i="7"/>
  <c r="G4021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3834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232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234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76" i="7"/>
  <c r="H4275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71" i="7"/>
  <c r="H4270" i="7"/>
  <c r="H4260" i="7"/>
  <c r="H4259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G4334" i="7" s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4288" i="7"/>
  <c r="H4289" i="7"/>
  <c r="H4290" i="7"/>
  <c r="H4291" i="7"/>
  <c r="H4292" i="7"/>
  <c r="H4283" i="7"/>
  <c r="H4284" i="7"/>
  <c r="H4285" i="7"/>
  <c r="H4286" i="7"/>
  <c r="H42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06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207" i="7"/>
  <c r="H4206" i="7"/>
  <c r="M3999" i="1"/>
  <c r="G3999" i="1" s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978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117" i="7"/>
  <c r="H3978" i="7"/>
  <c r="H3979" i="7"/>
  <c r="H3980" i="7"/>
  <c r="H3982" i="7"/>
  <c r="J4110" i="1"/>
  <c r="M4637" i="1"/>
  <c r="L4637" i="1"/>
  <c r="J4637" i="1"/>
  <c r="M4077" i="1"/>
  <c r="M4173" i="1"/>
  <c r="J4171" i="1"/>
  <c r="M3985" i="1"/>
  <c r="G3985" i="1" s="1"/>
  <c r="J3985" i="1"/>
  <c r="G4110" i="7"/>
  <c r="H4110" i="7"/>
  <c r="H4111" i="7"/>
  <c r="H4116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111" i="7"/>
  <c r="G1474" i="7"/>
  <c r="G1476" i="7"/>
  <c r="G984" i="7"/>
  <c r="G3483" i="7"/>
  <c r="G1177" i="7"/>
  <c r="G1178" i="7"/>
  <c r="G3979" i="7"/>
  <c r="G3484" i="7"/>
  <c r="G3481" i="7"/>
  <c r="G1838" i="7"/>
  <c r="G4106" i="7"/>
  <c r="G2628" i="7"/>
  <c r="G2629" i="7"/>
  <c r="G1194" i="7"/>
  <c r="G1195" i="7"/>
  <c r="G3609" i="7"/>
  <c r="G4284" i="7"/>
  <c r="G825" i="7"/>
  <c r="G3736" i="7"/>
  <c r="G1473" i="7"/>
  <c r="G3980" i="7"/>
  <c r="G1841" i="7"/>
  <c r="G1840" i="7"/>
  <c r="G2466" i="7"/>
  <c r="G1123" i="7"/>
  <c r="G1196" i="7"/>
  <c r="G4270" i="7"/>
  <c r="G4287" i="7"/>
  <c r="G1737" i="7"/>
  <c r="G3982" i="7"/>
  <c r="G4275" i="7"/>
  <c r="G2821" i="7"/>
  <c r="G4288" i="7"/>
  <c r="G4291" i="7"/>
  <c r="G4283" i="7"/>
  <c r="G3384" i="7"/>
  <c r="G4259" i="7"/>
  <c r="G3638" i="7"/>
  <c r="G4147" i="7"/>
  <c r="G4285" i="7"/>
  <c r="G3661" i="7"/>
  <c r="G3658" i="7"/>
  <c r="G4117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000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304" i="7"/>
  <c r="G3679" i="7"/>
  <c r="G3759" i="7"/>
  <c r="G4303" i="7"/>
  <c r="G4301" i="7"/>
  <c r="G3694" i="7"/>
  <c r="G3742" i="7"/>
  <c r="G3749" i="7"/>
  <c r="G3741" i="7"/>
  <c r="G3746" i="7"/>
  <c r="G3632" i="7"/>
  <c r="G3631" i="7"/>
  <c r="G3618" i="7"/>
  <c r="G3758" i="7"/>
  <c r="G3756" i="7"/>
  <c r="G464" i="7"/>
  <c r="G4305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K2816" i="7" s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111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979" i="7" s="1"/>
  <c r="G4845" i="1"/>
  <c r="G4798" i="1"/>
  <c r="K3481" i="7" s="1"/>
  <c r="G4446" i="1"/>
  <c r="K1838" i="7" s="1"/>
  <c r="G4140" i="1"/>
  <c r="K4334" i="7" s="1"/>
  <c r="G4846" i="1"/>
  <c r="G4335" i="1"/>
  <c r="K2254" i="7" s="1"/>
  <c r="G3839" i="1"/>
  <c r="G4639" i="1"/>
  <c r="G3785" i="1"/>
  <c r="G4645" i="1"/>
  <c r="G4255" i="1"/>
  <c r="G4123" i="1"/>
  <c r="K1423" i="7" s="1"/>
  <c r="G4899" i="1"/>
  <c r="G4366" i="1"/>
  <c r="K1194" i="7" s="1"/>
  <c r="G4078" i="1"/>
  <c r="K1195" i="7" s="1"/>
  <c r="G4442" i="1"/>
  <c r="G4334" i="1"/>
  <c r="G3783" i="1"/>
  <c r="G4210" i="1"/>
  <c r="G4507" i="1"/>
  <c r="G3921" i="1"/>
  <c r="G3987" i="1"/>
  <c r="K825" i="7" s="1"/>
  <c r="G4367" i="1"/>
  <c r="K3736" i="7" s="1"/>
  <c r="G4175" i="1"/>
  <c r="K1473" i="7" s="1"/>
  <c r="G3957" i="1"/>
  <c r="K3980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K4270" i="7" s="1"/>
  <c r="G3922" i="1"/>
  <c r="K4287" i="7" s="1"/>
  <c r="G4857" i="1"/>
  <c r="G3884" i="1"/>
  <c r="G4177" i="1"/>
  <c r="G3958" i="1"/>
  <c r="K3982" i="7" s="1"/>
  <c r="G4880" i="1"/>
  <c r="K4260" i="7" s="1"/>
  <c r="G4883" i="1"/>
  <c r="G4884" i="1"/>
  <c r="G4444" i="1"/>
  <c r="G4405" i="1"/>
  <c r="G4209" i="1"/>
  <c r="G4208" i="1"/>
  <c r="K4288" i="7" s="1"/>
  <c r="G4211" i="1"/>
  <c r="K4291" i="7" s="1"/>
  <c r="G3919" i="1"/>
  <c r="K4283" i="7" s="1"/>
  <c r="G3828" i="1"/>
  <c r="G3948" i="1"/>
  <c r="G3949" i="1"/>
  <c r="G4740" i="1"/>
  <c r="K3384" i="7" s="1"/>
  <c r="G4885" i="1"/>
  <c r="G4844" i="1"/>
  <c r="G4879" i="1"/>
  <c r="K4259" i="7" s="1"/>
  <c r="G4187" i="1"/>
  <c r="K3638" i="7" s="1"/>
  <c r="G4188" i="1"/>
  <c r="G3787" i="1"/>
  <c r="G4236" i="1"/>
  <c r="G4235" i="1"/>
  <c r="G4749" i="1"/>
  <c r="G3920" i="1"/>
  <c r="K4285" i="7" s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K913" i="7" s="1"/>
  <c r="G4679" i="1"/>
  <c r="G3950" i="1"/>
  <c r="G4800" i="1"/>
  <c r="G4033" i="1"/>
  <c r="G4538" i="1"/>
  <c r="G4125" i="1"/>
  <c r="G4178" i="1"/>
  <c r="G4488" i="1"/>
  <c r="K1305" i="7" s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K2933" i="7" s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59" i="7" s="1"/>
  <c r="G4374" i="1"/>
  <c r="K3760" i="7" s="1"/>
  <c r="G3810" i="1"/>
  <c r="G4230" i="1"/>
  <c r="G3944" i="1"/>
  <c r="G3943" i="1"/>
  <c r="K4301" i="7" s="1"/>
  <c r="G4593" i="1"/>
  <c r="G4343" i="1"/>
  <c r="G4357" i="1"/>
  <c r="G4342" i="1"/>
  <c r="K3741" i="7" s="1"/>
  <c r="G4356" i="1"/>
  <c r="G4649" i="1"/>
  <c r="G4652" i="1"/>
  <c r="G4379" i="1"/>
  <c r="K3618" i="7" s="1"/>
  <c r="G4375" i="1"/>
  <c r="G4585" i="1"/>
  <c r="G4009" i="1"/>
  <c r="G4492" i="1"/>
  <c r="K3756" i="7" s="1"/>
  <c r="G3823" i="1"/>
  <c r="G4475" i="1"/>
  <c r="G4452" i="1"/>
  <c r="G4453" i="1"/>
  <c r="G4231" i="1"/>
  <c r="G4261" i="1"/>
  <c r="G4105" i="1"/>
  <c r="G4358" i="1"/>
  <c r="K3750" i="7" s="1"/>
  <c r="G4344" i="1"/>
  <c r="G4345" i="1"/>
  <c r="G4455" i="1"/>
  <c r="G4483" i="1"/>
  <c r="K3644" i="7" s="1"/>
  <c r="G4376" i="1"/>
  <c r="G4621" i="1"/>
  <c r="G4755" i="1"/>
  <c r="G4900" i="1"/>
  <c r="G3811" i="1"/>
  <c r="G4237" i="1"/>
  <c r="G4037" i="1"/>
  <c r="G4754" i="1"/>
  <c r="K4234" i="7" s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110" i="7"/>
  <c r="K4117" i="7"/>
  <c r="K3978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06" i="7"/>
  <c r="K1196" i="7"/>
  <c r="K4289" i="7"/>
  <c r="K4284" i="7"/>
  <c r="K824" i="7"/>
  <c r="K826" i="7"/>
  <c r="K851" i="7"/>
  <c r="K53" i="7"/>
  <c r="K2529" i="7"/>
  <c r="K4271" i="7"/>
  <c r="K2423" i="7"/>
  <c r="K1736" i="7"/>
  <c r="K1737" i="7"/>
  <c r="K1738" i="7"/>
  <c r="K1752" i="7"/>
  <c r="K3055" i="7"/>
  <c r="K3115" i="7"/>
  <c r="K1735" i="7"/>
  <c r="K2815" i="7"/>
  <c r="K4275" i="7"/>
  <c r="K4276" i="7"/>
  <c r="K2821" i="7"/>
  <c r="K3661" i="7"/>
  <c r="K4147" i="7"/>
  <c r="K1295" i="7"/>
  <c r="K1307" i="7"/>
  <c r="K911" i="7"/>
  <c r="K912" i="7"/>
  <c r="K914" i="7"/>
  <c r="K687" i="7"/>
  <c r="K688" i="7"/>
  <c r="K745" i="7"/>
  <c r="K3755" i="7"/>
  <c r="K3641" i="7"/>
  <c r="K3642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000" i="7"/>
  <c r="K3745" i="7"/>
  <c r="K2822" i="7"/>
  <c r="K2855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3" i="7"/>
  <c r="K3762" i="7"/>
  <c r="K3739" i="7"/>
  <c r="K3740" i="7"/>
  <c r="K3742" i="7"/>
  <c r="K3746" i="7"/>
  <c r="K3749" i="7"/>
  <c r="K3751" i="7"/>
  <c r="K3752" i="7"/>
  <c r="K3753" i="7"/>
  <c r="K3758" i="7"/>
  <c r="K4303" i="7"/>
  <c r="K4304" i="7"/>
  <c r="K4305" i="7"/>
  <c r="K43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3718" i="7"/>
  <c r="K3719" i="7"/>
  <c r="K3720" i="7"/>
  <c r="K3946" i="7"/>
  <c r="K3950" i="7"/>
  <c r="K3635" i="7"/>
  <c r="K4232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3834" i="7"/>
  <c r="K751" i="7"/>
  <c r="K752" i="7"/>
  <c r="K815" i="7"/>
  <c r="K852" i="7"/>
  <c r="K4061" i="7"/>
  <c r="K4062" i="7"/>
  <c r="K4084" i="7"/>
  <c r="K4085" i="7"/>
  <c r="K3601" i="7"/>
  <c r="K3699" i="7"/>
  <c r="K3700" i="7"/>
  <c r="K3701" i="7"/>
  <c r="K3704" i="7"/>
  <c r="K2465" i="7"/>
  <c r="K2528" i="7"/>
  <c r="K2538" i="7"/>
  <c r="K2539" i="7"/>
  <c r="K3922" i="7"/>
  <c r="K4005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139" i="7"/>
  <c r="K4144" i="7"/>
  <c r="K4145" i="7"/>
  <c r="K4146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3696" i="7"/>
  <c r="K3697" i="7"/>
  <c r="K3698" i="7"/>
  <c r="K3713" i="7"/>
  <c r="K4202" i="7"/>
  <c r="K4203" i="7"/>
  <c r="K4204" i="7"/>
  <c r="K4205" i="7"/>
  <c r="K4233" i="7"/>
  <c r="K4235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240" i="7"/>
  <c r="K4038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899" i="7"/>
  <c r="K3900" i="7"/>
  <c r="K3901" i="7"/>
  <c r="K3902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4039" i="7"/>
  <c r="K3766" i="7"/>
  <c r="K3725" i="7"/>
  <c r="K3726" i="7"/>
  <c r="K3732" i="7"/>
  <c r="K3773" i="7"/>
  <c r="K4020" i="7"/>
  <c r="K4277" i="7"/>
  <c r="K4278" i="7"/>
  <c r="K4279" i="7"/>
  <c r="K4280" i="7"/>
  <c r="K3937" i="7"/>
  <c r="K3938" i="7"/>
  <c r="K3939" i="7"/>
  <c r="K3940" i="7"/>
  <c r="K3941" i="7"/>
  <c r="K3942" i="7"/>
  <c r="K4125" i="7"/>
  <c r="K4126" i="7"/>
  <c r="K4128" i="7"/>
  <c r="K3928" i="7"/>
  <c r="K3929" i="7"/>
  <c r="K3930" i="7"/>
  <c r="K3931" i="7"/>
  <c r="K4241" i="7"/>
  <c r="K4075" i="7"/>
  <c r="K4076" i="7"/>
  <c r="K4021" i="7"/>
  <c r="K4022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245" i="7"/>
  <c r="K4244" i="7"/>
  <c r="K3214" i="7"/>
  <c r="K3215" i="7"/>
  <c r="K3343" i="7"/>
  <c r="K2234" i="7"/>
  <c r="K2253" i="7"/>
  <c r="K2255" i="7"/>
  <c r="K4082" i="7"/>
  <c r="K4083" i="7"/>
  <c r="K4248" i="7"/>
  <c r="K4249" i="7"/>
  <c r="K4250" i="7"/>
  <c r="K4251" i="7"/>
  <c r="K4252" i="7"/>
  <c r="K4246" i="7"/>
  <c r="K4247" i="7"/>
  <c r="K4013" i="7"/>
  <c r="K4014" i="7"/>
  <c r="K4015" i="7"/>
  <c r="K4016" i="7"/>
  <c r="K4242" i="7"/>
  <c r="K3414" i="7"/>
  <c r="K4169" i="7"/>
  <c r="K4170" i="7"/>
  <c r="K4171" i="7"/>
  <c r="K4173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1308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129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4019" i="7"/>
  <c r="G4019" i="7"/>
  <c r="H4018" i="7"/>
  <c r="H4017" i="7"/>
  <c r="H4012" i="7"/>
  <c r="G40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995" i="7"/>
  <c r="G3995" i="7"/>
  <c r="H3993" i="7"/>
  <c r="G3993" i="7"/>
  <c r="H3992" i="7"/>
  <c r="H3991" i="7"/>
  <c r="G3991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201" i="7"/>
  <c r="H4200" i="7"/>
  <c r="H4199" i="7"/>
  <c r="H4198" i="7"/>
  <c r="G419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G4333" i="7" s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309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20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307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116" i="7"/>
  <c r="G43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76" i="7"/>
  <c r="G10" i="7"/>
  <c r="G3659" i="7"/>
  <c r="G4076" i="1"/>
  <c r="G3515" i="7"/>
  <c r="G4289" i="7"/>
  <c r="K3583" i="7"/>
  <c r="G1254" i="7"/>
  <c r="G3383" i="7"/>
  <c r="G4116" i="7"/>
  <c r="G1839" i="7"/>
  <c r="G1584" i="7"/>
  <c r="G4271" i="7"/>
  <c r="G4260" i="7"/>
  <c r="G980" i="7"/>
  <c r="G3982" i="1"/>
  <c r="K4215" i="7"/>
  <c r="K1839" i="7"/>
  <c r="G2254" i="7"/>
  <c r="K980" i="7"/>
  <c r="G4215" i="7"/>
  <c r="G3582" i="7"/>
  <c r="G3583" i="7"/>
  <c r="G3517" i="7"/>
  <c r="G4018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3647" i="7"/>
  <c r="H3625" i="7"/>
  <c r="H3626" i="7"/>
  <c r="H3646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77" i="1" l="1"/>
  <c r="F4117" i="1"/>
  <c r="F3870" i="1"/>
  <c r="F4218" i="1"/>
  <c r="F4912" i="1"/>
  <c r="F3833" i="1"/>
  <c r="F4536" i="1"/>
  <c r="G3613" i="7" s="1"/>
  <c r="F4154" i="1"/>
  <c r="F4953" i="1"/>
  <c r="G4306" i="7" s="1"/>
  <c r="F4589" i="1"/>
  <c r="F4598" i="1"/>
  <c r="F3938" i="1"/>
  <c r="F4915" i="1"/>
  <c r="F4438" i="1"/>
  <c r="F4954" i="1"/>
  <c r="G4308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308" i="7"/>
  <c r="F4307" i="7"/>
  <c r="F4309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306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L3771" i="1"/>
  <c r="J3771" i="1"/>
  <c r="L4434" i="1"/>
  <c r="J4434" i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34" i="1" l="1"/>
  <c r="F3775" i="1"/>
  <c r="F4465" i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403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8" i="7"/>
  <c r="K4201" i="7"/>
  <c r="K4226" i="7"/>
  <c r="K4227" i="7"/>
  <c r="K4222" i="7"/>
  <c r="K4223" i="7"/>
  <c r="K3991" i="7"/>
  <c r="K3993" i="7"/>
  <c r="K3995" i="7"/>
  <c r="K2918" i="7"/>
  <c r="K2919" i="7"/>
  <c r="K2709" i="7"/>
  <c r="K2710" i="7"/>
  <c r="K1533" i="7"/>
  <c r="K1536" i="7"/>
  <c r="K1684" i="7"/>
  <c r="K1685" i="7"/>
  <c r="K4012" i="7"/>
  <c r="K4018" i="7"/>
  <c r="K4019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3568" i="7"/>
  <c r="H3567" i="7"/>
  <c r="H3525" i="7"/>
  <c r="G3525" i="7"/>
  <c r="H3524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4034" i="7"/>
  <c r="G1174" i="7"/>
  <c r="G993" i="7"/>
  <c r="G994" i="7"/>
  <c r="G2381" i="7"/>
  <c r="G1469" i="7"/>
  <c r="G2622" i="7"/>
  <c r="G3903" i="7"/>
  <c r="G3908" i="7"/>
  <c r="G1587" i="7"/>
  <c r="G1193" i="7"/>
  <c r="G2509" i="7"/>
  <c r="G3567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3625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3647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3626" i="7"/>
  <c r="G1508" i="7"/>
  <c r="G1326" i="7"/>
  <c r="G1971" i="7"/>
  <c r="G376" i="7"/>
  <c r="G374" i="7"/>
  <c r="G1253" i="7"/>
  <c r="G4199" i="7"/>
  <c r="G3646" i="7"/>
  <c r="G4221" i="7"/>
  <c r="G1662" i="7"/>
  <c r="G4211" i="7"/>
  <c r="G4213" i="7"/>
  <c r="G4217" i="7"/>
  <c r="G4218" i="7"/>
  <c r="G1328" i="7"/>
  <c r="G1050" i="7"/>
  <c r="G3795" i="7"/>
  <c r="G3610" i="7"/>
  <c r="G1308" i="7"/>
  <c r="G4212" i="7"/>
  <c r="G4214" i="7"/>
  <c r="G1425" i="7"/>
  <c r="G1079" i="7"/>
  <c r="G4292" i="7"/>
  <c r="G1430" i="7"/>
  <c r="G595" i="7"/>
  <c r="G3969" i="7"/>
  <c r="G4228" i="7"/>
  <c r="G2235" i="7"/>
  <c r="G1534" i="7"/>
  <c r="G1535" i="7"/>
  <c r="G3487" i="7"/>
  <c r="G3992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403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306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3625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308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3647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309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3626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99" i="7" s="1"/>
  <c r="G4600" i="1"/>
  <c r="G4394" i="1"/>
  <c r="G4393" i="1"/>
  <c r="G4706" i="1"/>
  <c r="K3646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4292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K3992" i="7" l="1"/>
  <c r="K4333" i="7"/>
  <c r="F4226" i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206" i="7"/>
  <c r="G4286" i="7"/>
  <c r="K4206" i="7"/>
  <c r="K4286" i="7"/>
  <c r="K4207" i="7"/>
  <c r="K4290" i="7"/>
  <c r="G4207" i="7"/>
  <c r="G4290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200" i="7"/>
  <c r="G4017" i="7"/>
  <c r="K1683" i="7"/>
  <c r="K4229" i="7"/>
  <c r="K2282" i="7"/>
  <c r="K4017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20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307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3525" i="7"/>
  <c r="K3567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3523" i="7"/>
  <c r="H3415" i="7"/>
  <c r="G3474" i="7"/>
  <c r="H3474" i="7"/>
  <c r="G3475" i="7"/>
  <c r="H3475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842" i="7"/>
  <c r="G3843" i="7"/>
  <c r="H3843" i="7"/>
  <c r="G3856" i="7"/>
  <c r="H3856" i="7"/>
  <c r="G3857" i="7"/>
  <c r="H3857" i="7"/>
  <c r="J4872" i="1"/>
  <c r="F4872" i="1" s="1"/>
  <c r="J4145" i="1"/>
  <c r="J4293" i="1"/>
  <c r="F4293" i="1" s="1"/>
  <c r="K2123" i="7" l="1"/>
  <c r="G2123" i="7"/>
  <c r="H1585" i="7"/>
  <c r="H3603" i="7"/>
  <c r="H3611" i="7"/>
  <c r="G3612" i="7"/>
  <c r="H3612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3577" i="7"/>
  <c r="G3577" i="7"/>
  <c r="H3576" i="7"/>
  <c r="G3576" i="7"/>
  <c r="H3575" i="7"/>
  <c r="G3575" i="7"/>
  <c r="H3574" i="7"/>
  <c r="G3574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298" i="7"/>
  <c r="G4298" i="7"/>
  <c r="H4296" i="7"/>
  <c r="G4296" i="7"/>
  <c r="H3409" i="7"/>
  <c r="H3407" i="7"/>
  <c r="H3408" i="7"/>
  <c r="H3406" i="7"/>
  <c r="H4297" i="7"/>
  <c r="G4297" i="7"/>
  <c r="H4295" i="7"/>
  <c r="G4295" i="7"/>
  <c r="H4293" i="7"/>
  <c r="G4293" i="7"/>
  <c r="H4294" i="7"/>
  <c r="G4294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105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124" i="7"/>
  <c r="H4124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3721" i="7"/>
  <c r="H3721" i="7"/>
  <c r="K3721" i="7"/>
  <c r="G3722" i="7"/>
  <c r="H3722" i="7"/>
  <c r="K3722" i="7"/>
  <c r="H3723" i="7"/>
  <c r="G3724" i="7"/>
  <c r="H3724" i="7"/>
  <c r="K3724" i="7"/>
  <c r="G829" i="7"/>
  <c r="H829" i="7"/>
  <c r="K829" i="7"/>
  <c r="H830" i="7"/>
  <c r="H831" i="7"/>
  <c r="H832" i="7"/>
  <c r="H3774" i="7"/>
  <c r="G3775" i="7"/>
  <c r="H3775" i="7"/>
  <c r="K3775" i="7"/>
  <c r="G3776" i="7"/>
  <c r="H3776" i="7"/>
  <c r="K3776" i="7"/>
  <c r="G3777" i="7"/>
  <c r="H3777" i="7"/>
  <c r="K3777" i="7"/>
  <c r="H643" i="7"/>
  <c r="H640" i="7"/>
  <c r="G641" i="7"/>
  <c r="H641" i="7"/>
  <c r="K641" i="7"/>
  <c r="G642" i="7"/>
  <c r="H642" i="7"/>
  <c r="K642" i="7"/>
  <c r="H3778" i="7"/>
  <c r="H426" i="7"/>
  <c r="H427" i="7"/>
  <c r="H425" i="7"/>
  <c r="H428" i="7"/>
  <c r="H3779" i="7"/>
  <c r="H3780" i="7"/>
  <c r="G3785" i="7"/>
  <c r="H3785" i="7"/>
  <c r="K3785" i="7"/>
  <c r="H3786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47" i="7"/>
  <c r="H3947" i="7"/>
  <c r="K3947" i="7"/>
  <c r="G3948" i="7"/>
  <c r="H3948" i="7"/>
  <c r="K3948" i="7"/>
  <c r="G3949" i="7"/>
  <c r="H3949" i="7"/>
  <c r="K3949" i="7"/>
  <c r="G3951" i="7"/>
  <c r="H3951" i="7"/>
  <c r="K3951" i="7"/>
  <c r="G3932" i="7"/>
  <c r="H3932" i="7"/>
  <c r="K3932" i="7"/>
  <c r="G3933" i="7"/>
  <c r="H3933" i="7"/>
  <c r="K3933" i="7"/>
  <c r="G3934" i="7"/>
  <c r="H3934" i="7"/>
  <c r="K3934" i="7"/>
  <c r="G3935" i="7"/>
  <c r="H3935" i="7"/>
  <c r="K3935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89" i="7"/>
  <c r="H4090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91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124" i="7"/>
  <c r="K2440" i="7"/>
  <c r="K2981" i="7"/>
  <c r="K2896" i="7"/>
  <c r="K2897" i="7"/>
  <c r="K2904" i="7"/>
  <c r="K1289" i="7"/>
  <c r="K2536" i="7"/>
  <c r="K3428" i="7"/>
  <c r="K3772" i="7"/>
  <c r="K3767" i="7"/>
  <c r="K4294" i="7"/>
  <c r="K4293" i="7"/>
  <c r="K4295" i="7"/>
  <c r="K4297" i="7"/>
  <c r="K4296" i="7"/>
  <c r="K4298" i="7"/>
  <c r="K370" i="7"/>
  <c r="K371" i="7"/>
  <c r="K1925" i="7"/>
  <c r="K3574" i="7"/>
  <c r="K3575" i="7"/>
  <c r="K3576" i="7"/>
  <c r="K3577" i="7"/>
  <c r="K1449" i="7"/>
  <c r="K1450" i="7"/>
  <c r="K203" i="7"/>
  <c r="K3612" i="7"/>
  <c r="K3843" i="7"/>
  <c r="K3856" i="7"/>
  <c r="K3857" i="7"/>
  <c r="K3474" i="7"/>
  <c r="K3475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90" i="7"/>
  <c r="G3538" i="7"/>
  <c r="G1132" i="7"/>
  <c r="G2495" i="7"/>
  <c r="G3542" i="7"/>
  <c r="G2496" i="7"/>
  <c r="G2721" i="7"/>
  <c r="G354" i="7"/>
  <c r="G3779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91" i="7"/>
  <c r="G3774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780" i="7"/>
  <c r="G278" i="7"/>
  <c r="G1285" i="7"/>
  <c r="G2439" i="7"/>
  <c r="G2706" i="7"/>
  <c r="G2320" i="7"/>
  <c r="G2980" i="7"/>
  <c r="G1189" i="7"/>
  <c r="G2990" i="7"/>
  <c r="G2034" i="7"/>
  <c r="G4105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842" i="7"/>
  <c r="G2036" i="7"/>
  <c r="G3298" i="7"/>
  <c r="G3611" i="7"/>
  <c r="G1290" i="7"/>
  <c r="G2213" i="7"/>
  <c r="G3603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90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779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3774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11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03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842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1294" i="7"/>
  <c r="K1308" i="7"/>
  <c r="G129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3568" i="7"/>
  <c r="G3748" i="7"/>
  <c r="G3415" i="7"/>
  <c r="G3743" i="7"/>
  <c r="K1249" i="7"/>
  <c r="G3524" i="7"/>
  <c r="G3747" i="7"/>
  <c r="G1249" i="7"/>
  <c r="K3568" i="7"/>
  <c r="K3748" i="7"/>
  <c r="K3415" i="7"/>
  <c r="K3743" i="7"/>
  <c r="K3524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786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786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3523" i="7"/>
  <c r="G338" i="7"/>
  <c r="K3523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091" i="7"/>
  <c r="K23" i="7"/>
  <c r="K1109" i="7"/>
  <c r="K1490" i="7"/>
  <c r="K2439" i="7"/>
  <c r="K2486" i="7"/>
  <c r="K2923" i="7"/>
  <c r="K25" i="7"/>
  <c r="K3541" i="7"/>
  <c r="K2992" i="7"/>
  <c r="K4105" i="7"/>
  <c r="K2378" i="7"/>
  <c r="K2922" i="7"/>
  <c r="K24" i="7"/>
  <c r="K2496" i="7"/>
  <c r="K3128" i="7"/>
  <c r="K816" i="7"/>
  <c r="K2211" i="7"/>
  <c r="K3780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89" i="7"/>
  <c r="K2264" i="7"/>
  <c r="G2445" i="7"/>
  <c r="G343" i="7"/>
  <c r="G2494" i="7"/>
  <c r="G1337" i="7"/>
  <c r="G1731" i="7"/>
  <c r="G4089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G4351" i="7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4351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K3723" i="7" l="1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372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778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778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<sst xmlns="http://schemas.openxmlformats.org/spreadsheetml/2006/main" count="39586" uniqueCount="2794">
  <si>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</si>
  <si>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</si>
  <si>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</si>
  <si>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</si>
  <si>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</si>
  <si>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</si>
  <si>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</si>
  <si>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</si>
  <si>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</si>
  <si>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</si>
  <si>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</si>
  <si>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</si>
  <si>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</si>
  <si>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</si>
  <si>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</si>
  <si>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</si>
  <si>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</si>
  <si>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</si>
  <si>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</si>
  <si>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</si>
  <si>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</si>
  <si>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</si>
  <si>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</si>
  <si>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</si>
  <si>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</si>
  <si>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</si>
  <si>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</si>
  <si>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</si>
  <si>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</si>
  <si>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</si>
  <si>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</si>
  <si>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</si>
  <si>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</si>
  <si>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</si>
  <si>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</si>
  <si>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</si>
  <si>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</si>
  <si>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</si>
  <si>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</si>
  <si>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</si>
  <si>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</si>
  <si>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</si>
  <si>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</si>
  <si>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</si>
  <si>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</si>
  <si>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</si>
  <si>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</si>
  <si>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</si>
  <si>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</si>
  <si>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</si>
  <si>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</si>
  <si>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</si>
  <si>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</si>
  <si>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</si>
  <si>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</si>
  <si>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</si>
  <si>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</si>
  <si>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</si>
  <si>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</si>
  <si>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</si>
  <si>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</si>
  <si>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</si>
  <si>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</si>
  <si>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</si>
  <si>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</si>
  <si>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</si>
  <si>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</si>
  <si>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</si>
  <si>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</si>
  <si>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</si>
  <si>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</si>
  <si>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</si>
  <si>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</si>
  <si>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</si>
  <si>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</si>
  <si>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</si>
  <si>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</si>
  <si>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</si>
  <si>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</si>
  <si>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</si>
  <si>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</si>
  <si>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</si>
  <si>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</si>
  <si>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</si>
  <si>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</si>
  <si>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</si>
  <si>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</si>
  <si>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</si>
  <si>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</si>
  <si>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</si>
  <si>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</si>
  <si>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</si>
  <si>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</si>
  <si>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</si>
  <si>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</si>
  <si>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</si>
  <si>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</si>
  <si>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</si>
  <si>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</si>
  <si>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</si>
  <si>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</si>
  <si>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</si>
  <si>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</si>
  <si>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</si>
  <si>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</si>
  <si>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</si>
  <si>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</si>
  <si>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</si>
  <si>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</si>
  <si>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</si>
  <si>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</si>
  <si>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</si>
  <si>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</si>
  <si>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</si>
  <si>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</si>
  <si>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</si>
  <si>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</si>
  <si>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</si>
  <si>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</si>
  <si>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</si>
  <si>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</si>
  <si>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</si>
  <si>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</si>
  <si>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</si>
  <si>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</si>
  <si>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</si>
  <si>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</si>
  <si>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</si>
  <si>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</si>
  <si>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</si>
  <si>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</si>
  <si>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</si>
  <si>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</si>
  <si>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</si>
  <si>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</si>
  <si>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</si>
  <si>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</si>
  <si>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</si>
  <si>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</si>
  <si>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</si>
  <si>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</si>
  <si>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</si>
  <si>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</si>
  <si>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</si>
  <si>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</si>
  <si>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</si>
  <si>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</si>
  <si>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</si>
  <si>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</si>
  <si>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</si>
  <si>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</si>
  <si>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</si>
  <si>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</si>
  <si>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</si>
  <si>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</si>
  <si>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</si>
  <si>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</si>
  <si>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</si>
  <si>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</si>
  <si>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</si>
  <si>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</si>
  <si>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</si>
  <si>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</si>
  <si>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</si>
  <si>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</si>
  <si>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</si>
  <si>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</si>
  <si>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</si>
  <si>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</si>
  <si>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</si>
  <si>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</si>
  <si>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</si>
  <si>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</si>
  <si>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</si>
  <si>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</si>
  <si>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</si>
  <si>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</si>
  <si>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</si>
  <si>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</si>
  <si>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</si>
  <si>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</si>
  <si>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</si>
  <si>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</si>
  <si>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</si>
  <si>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</si>
  <si>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</si>
  <si>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</si>
  <si>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</si>
  <si>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</si>
  <si>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</si>
  <si>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</si>
  <si>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</si>
  <si>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</si>
  <si>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</si>
  <si>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</si>
  <si>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</si>
  <si>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</si>
  <si>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</si>
  <si>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</si>
  <si>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</si>
  <si>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</si>
  <si>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</si>
  <si>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</si>
  <si>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</si>
  <si>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</si>
  <si>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</si>
  <si>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</si>
  <si>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</si>
  <si>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</si>
  <si>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</si>
  <si>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</si>
  <si>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</si>
  <si>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</si>
  <si>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</si>
  <si>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</si>
  <si>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</si>
  <si>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</si>
  <si>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</si>
  <si>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</si>
  <si>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</si>
  <si>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</si>
  <si>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</si>
  <si>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</si>
  <si>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</si>
  <si>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</si>
  <si>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</si>
  <si>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</si>
  <si>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</si>
  <si>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</si>
  <si>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</si>
  <si>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</si>
  <si>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</si>
  <si>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</si>
  <si>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</si>
  <si>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</si>
  <si>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</si>
  <si>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</si>
  <si>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</si>
  <si>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</si>
  <si>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</si>
  <si>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</si>
  <si>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</si>
  <si>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</si>
  <si>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</si>
  <si>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</si>
  <si>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</si>
  <si>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</si>
  <si>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</si>
  <si>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</si>
  <si>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</si>
  <si>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</si>
  <si>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</si>
  <si>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</si>
  <si>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</si>
  <si>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</si>
  <si>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</si>
  <si>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</si>
  <si>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</si>
  <si>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</si>
  <si>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</si>
  <si>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</si>
  <si>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</si>
  <si>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</si>
  <si>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</si>
  <si>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</si>
  <si>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</si>
  <si>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</si>
  <si>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</si>
  <si>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</si>
  <si>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</si>
  <si>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</si>
  <si>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</si>
  <si>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</si>
  <si>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</si>
  <si>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</si>
  <si>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</si>
  <si>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</si>
  <si>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</si>
  <si>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</si>
  <si>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</si>
  <si>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</si>
  <si>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</si>
  <si>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</si>
  <si>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</si>
  <si>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</si>
  <si>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</si>
  <si>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</si>
  <si>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</si>
  <si>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</si>
  <si>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</si>
  <si>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</si>
  <si>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</si>
  <si>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</si>
  <si>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</si>
  <si>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</si>
  <si>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</si>
  <si>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</si>
  <si>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</si>
  <si>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</si>
  <si>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</si>
  <si>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</si>
  <si>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</si>
  <si>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</si>
  <si>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</si>
  <si>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</si>
  <si>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</si>
  <si>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</si>
  <si>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</si>
  <si>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</si>
  <si>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</si>
  <si>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</si>
  <si>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</si>
  <si>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</si>
  <si>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</si>
  <si>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</si>
  <si>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</si>
  <si>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</si>
  <si>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</si>
  <si>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</si>
  <si>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</si>
  <si>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</si>
  <si>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</si>
  <si>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</si>
  <si>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</si>
  <si>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</si>
  <si>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</si>
  <si>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</si>
  <si>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</si>
  <si>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</si>
  <si>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</si>
  <si>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</si>
  <si>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</si>
  <si>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</si>
  <si>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</si>
  <si>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</si>
  <si>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</si>
  <si>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</si>
  <si>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</si>
  <si>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</si>
  <si>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</si>
  <si>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</si>
  <si>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</si>
  <si>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</si>
  <si>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</si>
  <si>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</si>
  <si>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</si>
  <si>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</si>
  <si>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</si>
  <si>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</si>
  <si>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</si>
  <si>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</si>
  <si>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</si>
  <si>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</si>
  <si>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</si>
  <si>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</si>
  <si>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</si>
  <si>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</si>
  <si>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</si>
  <si>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</si>
  <si>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</si>
  <si>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</si>
  <si>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</si>
  <si>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</si>
  <si>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</si>
  <si>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</si>
  <si>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</si>
  <si>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</si>
  <si>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</si>
  <si>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</si>
  <si>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</si>
  <si>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</si>
  <si>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</si>
  <si>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</si>
  <si>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</si>
  <si>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</si>
  <si>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</si>
  <si>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</si>
  <si>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</si>
  <si>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</si>
  <si>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</si>
  <si>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</si>
  <si>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</si>
  <si>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</si>
  <si>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</si>
  <si>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</si>
  <si>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</si>
  <si>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</si>
  <si>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</si>
  <si>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</si>
  <si>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</si>
  <si>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</si>
  <si>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</si>
  <si>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</si>
  <si>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</si>
  <si>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</si>
  <si>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</si>
  <si>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</si>
  <si>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</si>
  <si>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</si>
  <si>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</si>
  <si>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</si>
  <si>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</si>
  <si>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</si>
  <si>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</si>
  <si>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</si>
  <si>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</si>
  <si>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</si>
  <si>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</si>
  <si>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</si>
  <si>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</si>
  <si>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</si>
  <si>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</si>
  <si>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</si>
  <si>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</si>
  <si>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</si>
  <si>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</si>
  <si>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</si>
  <si>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</si>
  <si>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</si>
  <si>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</si>
  <si>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</si>
  <si>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</si>
  <si>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</si>
  <si>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</si>
  <si>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</si>
  <si>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</si>
  <si>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</si>
  <si>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</si>
  <si>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</si>
  <si>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</si>
  <si>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</si>
  <si>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</si>
  <si>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</si>
  <si>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</si>
  <si>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</si>
  <si>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</si>
  <si>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</si>
  <si>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</si>
  <si>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</si>
  <si>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</si>
  <si>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</si>
  <si>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</si>
  <si>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</si>
  <si>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</si>
  <si>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</si>
  <si>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</si>
  <si>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</si>
  <si>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</si>
  <si>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</si>
  <si>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</si>
  <si>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</si>
  <si>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</si>
  <si>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</si>
  <si>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</si>
  <si>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</si>
  <si>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</si>
  <si>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</si>
  <si>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</si>
  <si>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</si>
  <si>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</si>
  <si>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</si>
  <si>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</si>
  <si>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</si>
  <si>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</si>
  <si>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</si>
  <si>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</si>
  <si>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</si>
  <si>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</si>
  <si>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</si>
  <si>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</si>
  <si>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</si>
  <si>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</si>
  <si>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</si>
  <si>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</si>
  <si>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</si>
  <si>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</si>
  <si>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</si>
  <si>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</si>
  <si>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</si>
  <si>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</si>
  <si>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</si>
  <si>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</si>
  <si>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</si>
  <si>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</si>
  <si>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</si>
  <si>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</si>
  <si>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</si>
  <si>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</si>
  <si>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</si>
  <si>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</si>
  <si>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</si>
  <si>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</si>
  <si>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</si>
  <si>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</si>
  <si>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</si>
  <si>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</si>
  <si>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</si>
  <si>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</si>
  <si>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</si>
  <si>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</si>
  <si>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</si>
  <si>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</si>
  <si>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</si>
  <si>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</si>
  <si>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</si>
  <si>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</si>
  <si>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</si>
  <si>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</si>
  <si>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</si>
  <si>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</si>
  <si>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</si>
  <si>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</si>
  <si>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</si>
  <si>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</si>
  <si>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</si>
  <si>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</si>
  <si>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</si>
  <si>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</si>
  <si>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</si>
  <si>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</si>
  <si>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</si>
  <si>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</si>
  <si>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</si>
  <si>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</si>
  <si>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</si>
  <si>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</si>
  <si>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</si>
  <si>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</si>
  <si>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</si>
  <si>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</si>
  <si>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</si>
  <si>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</si>
  <si>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</si>
  <si>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</si>
  <si>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</si>
  <si>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</si>
  <si>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</si>
  <si>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</si>
  <si>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</si>
  <si>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</si>
  <si>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</si>
  <si>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</si>
  <si>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</si>
  <si>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</si>
  <si>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</si>
  <si>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</si>
  <si>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</si>
  <si>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</si>
  <si>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</si>
  <si>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</si>
  <si>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</si>
  <si>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</si>
  <si>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</si>
  <si>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</si>
  <si>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</si>
  <si>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</si>
  <si>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</si>
  <si>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</si>
  <si>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</si>
  <si>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</si>
  <si>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</si>
  <si>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</si>
  <si>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</si>
  <si>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</si>
  <si>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</si>
  <si>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</si>
  <si>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</si>
  <si>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</si>
  <si>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</si>
  <si>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</si>
  <si>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</si>
  <si>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</si>
  <si>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</si>
  <si>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</si>
  <si>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</si>
  <si>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</si>
  <si>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</si>
  <si>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</si>
  <si>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</si>
  <si>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</si>
  <si>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</si>
  <si>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</si>
  <si>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</si>
  <si>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</si>
  <si>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</si>
  <si>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</si>
  <si>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</si>
  <si>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</si>
  <si>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</si>
  <si>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</si>
  <si>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</si>
  <si>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</si>
  <si>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</si>
  <si>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</si>
  <si>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</si>
  <si>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</si>
  <si>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</si>
  <si>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</si>
  <si>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</si>
  <si>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</si>
  <si>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</si>
  <si>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</si>
  <si>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</si>
  <si>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</si>
  <si>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</si>
  <si>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</si>
  <si>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</si>
  <si>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</si>
  <si>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</si>
  <si>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</si>
  <si>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</si>
  <si>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</si>
  <si>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</si>
  <si>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</si>
  <si>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</si>
  <si>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</si>
  <si>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</si>
  <si>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</si>
  <si>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</si>
  <si>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</si>
  <si>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</si>
  <si>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</si>
  <si>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</si>
  <si>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</si>
  <si>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</si>
  <si>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</si>
  <si>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</si>
  <si>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</si>
  <si>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</si>
  <si>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</si>
  <si>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</si>
  <si>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</si>
  <si>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</si>
  <si>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</si>
  <si>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</si>
  <si>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</si>
  <si>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</si>
  <si>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</si>
  <si>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</si>
  <si>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</si>
  <si>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</si>
  <si>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</si>
  <si>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</si>
  <si>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</si>
  <si>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</si>
  <si>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</si>
  <si>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</si>
  <si>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</si>
  <si>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</si>
  <si>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</si>
  <si>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</si>
  <si>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</si>
  <si>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</si>
  <si>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</si>
  <si>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</si>
  <si>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</si>
  <si>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</si>
  <si>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</si>
  <si>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</si>
  <si>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</si>
  <si>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</si>
  <si>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</si>
  <si>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</si>
  <si>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</si>
  <si>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</si>
  <si>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</si>
  <si>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</si>
  <si>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</si>
  <si>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</si>
  <si>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</si>
  <si>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</si>
  <si>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</si>
  <si>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</si>
  <si>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</si>
  <si>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</si>
  <si>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</si>
  <si>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</si>
  <si>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</si>
  <si>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</si>
  <si>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</si>
  <si>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</si>
  <si>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</si>
  <si>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</si>
  <si>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</si>
  <si>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</si>
  <si>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</si>
  <si>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</si>
  <si>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</si>
  <si>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</si>
  <si>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</si>
  <si>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</si>
  <si>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</si>
  <si>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</si>
  <si>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</si>
  <si>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</si>
  <si>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</si>
  <si>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</si>
  <si>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</si>
  <si>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</si>
  <si>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</si>
  <si>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</si>
  <si>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</si>
  <si>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</si>
  <si>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</si>
  <si>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</si>
  <si>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</si>
  <si>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</si>
  <si>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</si>
  <si>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</si>
  <si>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</si>
  <si>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</si>
  <si>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</si>
  <si>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</si>
  <si>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</si>
  <si>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</si>
  <si>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</si>
  <si>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</si>
  <si>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</si>
  <si>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</si>
  <si>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</si>
  <si>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</si>
  <si>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</si>
  <si>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</si>
  <si>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</si>
  <si>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</si>
  <si>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</si>
  <si>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</si>
  <si>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</si>
  <si>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</si>
  <si>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</si>
  <si>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</si>
  <si>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</si>
  <si>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</si>
  <si>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</si>
  <si>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</si>
  <si>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</si>
  <si>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</si>
  <si>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</si>
  <si>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</si>
  <si>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</si>
  <si>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</si>
  <si>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</si>
  <si>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</si>
  <si>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</si>
  <si>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</si>
  <si>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</si>
  <si>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</si>
  <si>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</si>
  <si>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</si>
  <si>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</si>
  <si>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</si>
  <si>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</si>
  <si>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</si>
  <si>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</si>
  <si>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</si>
  <si>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</si>
  <si>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</si>
  <si>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</si>
  <si>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</si>
  <si>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</si>
  <si>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</si>
  <si>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</si>
  <si>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</si>
  <si>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</si>
  <si>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</si>
  <si>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</si>
  <si>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</si>
  <si>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</si>
  <si>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</si>
  <si>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</si>
  <si>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</si>
  <si>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</si>
  <si>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</si>
  <si>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</si>
  <si>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</si>
  <si>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</si>
  <si>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</si>
  <si>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</si>
  <si>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</si>
  <si>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</si>
  <si>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</si>
  <si>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</si>
  <si>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</si>
  <si>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</si>
  <si>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</si>
  <si>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</si>
  <si>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</si>
  <si>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</si>
  <si>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</si>
  <si>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</si>
  <si>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</si>
  <si>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</si>
  <si>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</si>
  <si>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</si>
  <si>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</si>
  <si>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</si>
  <si>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</si>
  <si>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</si>
  <si>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</si>
  <si>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</si>
  <si>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</si>
  <si>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</si>
  <si>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</si>
  <si>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</si>
  <si>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</si>
  <si>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</si>
  <si>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</si>
  <si>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</si>
  <si>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</si>
  <si>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</si>
  <si>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</si>
  <si>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</si>
  <si>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</si>
  <si>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</si>
  <si>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</si>
  <si>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</si>
  <si>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</si>
  <si>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</si>
  <si>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</si>
  <si>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</si>
  <si>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</si>
  <si>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</si>
  <si>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</si>
  <si>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</si>
  <si>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</si>
  <si>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</si>
  <si>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</si>
  <si>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</si>
  <si>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</si>
  <si>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</si>
  <si>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</si>
  <si>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</si>
  <si>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</si>
  <si>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</si>
  <si>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</si>
  <si>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</si>
  <si>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</si>
  <si>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</si>
  <si>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</si>
  <si>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</si>
  <si>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</si>
  <si>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</si>
  <si>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</si>
  <si>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</si>
  <si>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</si>
  <si>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</si>
  <si>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</si>
  <si>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</si>
  <si>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</si>
  <si>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</si>
  <si>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</si>
  <si>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</si>
  <si>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</si>
  <si>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</si>
  <si>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</si>
  <si>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</si>
  <si>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</si>
  <si>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</si>
  <si>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</si>
  <si>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</si>
  <si>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</si>
  <si>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</si>
  <si>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</si>
  <si>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</si>
  <si>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</si>
  <si>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</si>
  <si>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</si>
  <si>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</si>
  <si>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</si>
  <si>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</si>
  <si>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</si>
  <si>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</si>
  <si>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</si>
  <si>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</si>
  <si>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</si>
  <si>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</si>
  <si>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</si>
  <si>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</si>
  <si>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</si>
  <si>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</si>
  <si>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</si>
  <si>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</si>
  <si>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</si>
  <si>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</si>
  <si>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</si>
  <si>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</si>
  <si>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</si>
  <si>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</si>
  <si>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</si>
  <si>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</si>
  <si>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</si>
  <si>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</si>
  <si>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</si>
  <si>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</si>
  <si>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</si>
  <si>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</si>
  <si>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</si>
  <si>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</si>
  <si>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</si>
  <si>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</si>
  <si>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</si>
  <si>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</si>
  <si>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</si>
  <si>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</si>
  <si>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</si>
  <si>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</si>
  <si>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</si>
  <si>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</si>
  <si>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</si>
  <si>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</si>
  <si>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</si>
  <si>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</si>
  <si>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</si>
  <si>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</si>
  <si>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</si>
  <si>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</si>
  <si>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</si>
  <si>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</si>
  <si>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</si>
  <si>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</si>
  <si>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</si>
  <si>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</si>
  <si>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</si>
  <si>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</si>
  <si>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</si>
  <si>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</si>
  <si>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</si>
  <si>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</si>
  <si>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</si>
  <si>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</si>
  <si>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</si>
  <si>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</si>
  <si>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</si>
  <si>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</si>
  <si>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</si>
  <si>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</si>
  <si>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</si>
  <si>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</si>
  <si>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</si>
  <si>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</si>
  <si>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</si>
  <si>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</si>
  <si>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</si>
  <si>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</si>
  <si>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</si>
  <si>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</si>
  <si>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</si>
  <si>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</si>
  <si>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</si>
  <si>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</si>
  <si>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</si>
  <si>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</si>
  <si>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</si>
  <si>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</si>
  <si>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</si>
  <si>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</si>
  <si>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</si>
  <si>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</si>
  <si>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</si>
  <si>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</si>
  <si>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</si>
  <si>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</si>
  <si>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</si>
  <si>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</si>
  <si>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</si>
  <si>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</si>
  <si>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</si>
  <si>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</si>
  <si>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</si>
  <si>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</si>
  <si>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</si>
  <si>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</si>
  <si>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</si>
  <si>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</si>
  <si>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</si>
  <si>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</si>
  <si>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</si>
  <si>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</si>
  <si>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</si>
  <si>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</si>
  <si>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</si>
  <si>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</si>
  <si>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</si>
  <si>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</si>
  <si>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</si>
  <si>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</si>
  <si>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</si>
  <si>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</si>
  <si>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</si>
  <si>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</si>
  <si>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</si>
  <si>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</si>
  <si>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</si>
  <si>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</si>
  <si>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</si>
  <si>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</si>
  <si>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</si>
  <si>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</si>
  <si>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</si>
  <si>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</si>
  <si>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</si>
  <si>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</si>
  <si>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</si>
  <si>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</si>
  <si>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</si>
  <si>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</si>
  <si>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</si>
  <si>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</si>
  <si>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</si>
  <si>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</si>
  <si>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</si>
  <si>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</si>
  <si>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</si>
  <si>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</si>
  <si>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</si>
  <si>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</si>
  <si>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</si>
  <si>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</si>
  <si>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</si>
  <si>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</si>
  <si>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</si>
  <si>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</si>
  <si>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</si>
  <si>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</si>
  <si>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</si>
  <si>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</si>
  <si>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</si>
  <si>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</si>
  <si>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</si>
  <si>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</si>
  <si>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</si>
  <si>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</si>
  <si>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</si>
  <si>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</si>
  <si>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</si>
  <si>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</si>
  <si>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</si>
  <si>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</si>
  <si>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</si>
  <si>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</si>
  <si>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</si>
  <si>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</si>
  <si>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</si>
  <si>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</si>
  <si>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</si>
  <si>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</si>
  <si>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</si>
  <si>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</si>
  <si>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</si>
  <si>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</si>
  <si>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</si>
  <si>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</si>
  <si>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</si>
  <si>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</si>
  <si>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</si>
  <si>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</si>
  <si>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</si>
  <si>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</si>
  <si>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</si>
  <si>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</si>
  <si>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</si>
  <si>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</si>
  <si>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</si>
  <si>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</si>
  <si>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</si>
  <si>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</si>
  <si>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</si>
  <si>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</si>
  <si>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</si>
  <si>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</si>
  <si>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</si>
  <si>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</si>
  <si>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</si>
  <si>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</si>
  <si>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</si>
  <si>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</si>
  <si>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</si>
  <si>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</si>
  <si>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</si>
  <si>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</si>
  <si>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</si>
  <si>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</si>
  <si>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</si>
  <si>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</si>
  <si>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</si>
  <si>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</si>
  <si>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</si>
  <si>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</si>
  <si>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</si>
  <si>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</si>
  <si>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</si>
  <si>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</si>
  <si>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</si>
  <si>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</si>
  <si>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</si>
  <si>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</si>
  <si>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</si>
  <si>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</si>
  <si>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</si>
  <si>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</si>
  <si>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</si>
  <si>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</si>
  <si>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</si>
  <si>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</si>
  <si>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</si>
  <si>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</si>
  <si>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</si>
  <si>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</si>
  <si>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</si>
  <si>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</si>
  <si>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</si>
  <si>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</si>
  <si>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</si>
  <si>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</si>
  <si>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</si>
  <si>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</si>
  <si>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</si>
  <si>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</si>
  <si>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</si>
  <si>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</si>
  <si>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</si>
  <si>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</si>
  <si>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</si>
  <si>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</si>
  <si>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</si>
  <si>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</si>
  <si>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</si>
  <si>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</si>
  <si>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</si>
  <si>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</si>
  <si>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</si>
  <si>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</si>
  <si>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</si>
  <si>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</si>
  <si>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</si>
  <si>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</si>
  <si>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</si>
  <si>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</si>
  <si>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</si>
  <si>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</si>
  <si>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</si>
  <si>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</si>
  <si>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</si>
  <si>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</si>
  <si>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</si>
  <si>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</si>
  <si>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</si>
  <si>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</si>
  <si>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</si>
  <si>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</si>
  <si>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</si>
  <si>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</si>
  <si>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</si>
  <si>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</si>
  <si>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</si>
  <si>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</si>
  <si>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</si>
  <si>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</si>
  <si>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</si>
  <si>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</si>
  <si>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</si>
  <si>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</si>
  <si>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</si>
  <si>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</si>
  <si>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</si>
  <si>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</si>
  <si>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</si>
  <si>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</si>
  <si>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</si>
  <si>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</si>
  <si>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</si>
  <si>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</si>
  <si>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</si>
  <si>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</si>
  <si>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</si>
  <si>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</si>
  <si>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</si>
  <si>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</si>
  <si>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</si>
  <si>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</si>
  <si>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</si>
  <si>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</si>
  <si>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</si>
  <si>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</si>
  <si>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</si>
  <si>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</si>
  <si>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</si>
  <si>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</si>
  <si>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</si>
  <si>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</si>
  <si>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</si>
  <si>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</si>
  <si>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</si>
  <si>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</si>
  <si>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</si>
  <si>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</si>
  <si>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</si>
  <si>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</si>
  <si>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</si>
  <si>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</si>
  <si>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</si>
  <si>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</si>
  <si>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</si>
  <si>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</si>
  <si>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</si>
  <si>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</si>
  <si>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</si>
  <si>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</si>
  <si>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</si>
  <si>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</si>
  <si>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</si>
  <si>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</si>
  <si>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</si>
  <si>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</si>
  <si>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</si>
  <si>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</si>
  <si>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</si>
  <si>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</si>
  <si>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</si>
  <si>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</si>
  <si>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</si>
  <si>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</si>
  <si>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</si>
  <si>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</si>
  <si>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</si>
  <si>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</si>
  <si>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</si>
  <si>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</si>
  <si>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</si>
  <si>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</si>
  <si>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</si>
  <si>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</si>
  <si>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</si>
  <si>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</si>
  <si>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</si>
  <si>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</si>
  <si>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</si>
  <si>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</si>
  <si>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</si>
  <si>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</si>
  <si>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</si>
  <si>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</si>
  <si>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</si>
  <si>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</si>
  <si>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</si>
  <si>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</si>
  <si>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</si>
  <si>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</si>
  <si>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</si>
  <si>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</si>
  <si>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</si>
  <si>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</si>
  <si>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</si>
  <si>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</si>
  <si>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</si>
  <si>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</si>
  <si>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</si>
  <si>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</si>
  <si>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</si>
  <si>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</si>
  <si>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</si>
  <si>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</si>
  <si>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</si>
  <si>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</si>
  <si>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</si>
  <si>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</si>
  <si>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</si>
  <si>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</si>
  <si>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</si>
  <si>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</si>
  <si>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</si>
  <si>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</si>
  <si>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</si>
  <si>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</si>
  <si>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</si>
  <si>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</si>
  <si>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</si>
  <si>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</si>
  <si>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</si>
  <si>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</si>
  <si>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</si>
  <si>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</si>
  <si>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</si>
  <si>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</si>
  <si>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</si>
  <si>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</si>
  <si>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</si>
  <si>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</si>
  <si>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</si>
  <si>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</si>
  <si>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</si>
  <si>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</si>
  <si>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</si>
  <si>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</si>
  <si>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</si>
  <si>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</si>
  <si>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</si>
  <si>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</si>
  <si>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</si>
  <si>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</si>
  <si>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</si>
  <si>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</si>
  <si>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</si>
  <si>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</si>
  <si>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</si>
  <si>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</si>
  <si>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</si>
  <si>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</si>
  <si>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</si>
  <si>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</si>
  <si>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</si>
  <si>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</si>
  <si>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</si>
  <si>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</si>
  <si>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</si>
  <si>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</si>
  <si>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</si>
  <si>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</si>
  <si>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</si>
  <si>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</si>
  <si>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</si>
  <si>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</si>
  <si>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</si>
  <si>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</si>
  <si>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</si>
  <si>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</si>
  <si>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</si>
  <si>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</si>
  <si>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</si>
  <si>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</si>
  <si>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</si>
  <si>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</si>
  <si>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</si>
  <si>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</si>
  <si>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</si>
  <si>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</si>
  <si>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</si>
  <si>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</si>
  <si>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</si>
  <si>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</si>
  <si>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</si>
  <si>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</si>
  <si>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</si>
  <si>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</si>
  <si>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</si>
  <si>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</si>
  <si>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</si>
  <si>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</si>
  <si>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</si>
  <si>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</si>
  <si>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</si>
  <si>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</si>
  <si>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</si>
  <si>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</si>
  <si>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</si>
  <si>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</si>
  <si>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</si>
  <si>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</si>
  <si>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</si>
  <si>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</si>
  <si>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</si>
  <si>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</si>
  <si>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</si>
  <si>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</si>
  <si>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</si>
  <si>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</si>
  <si>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</si>
  <si>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</si>
  <si>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</si>
  <si>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</si>
  <si>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</si>
  <si>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</si>
  <si>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</si>
  <si>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</si>
  <si>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</si>
  <si>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</si>
  <si>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</si>
  <si>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</si>
  <si>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</si>
  <si>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</si>
  <si>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</si>
  <si>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</si>
  <si>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</si>
  <si>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</si>
  <si>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</si>
  <si>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</si>
  <si>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</si>
  <si>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</si>
  <si>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</si>
  <si>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</si>
  <si>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</si>
  <si>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</si>
  <si>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</si>
  <si>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</si>
  <si>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</si>
  <si>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</si>
  <si>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</si>
  <si>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</si>
  <si>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</si>
  <si>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</si>
  <si>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</si>
  <si>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</si>
  <si>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</si>
  <si>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</si>
  <si>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</si>
  <si>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</si>
  <si>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</si>
  <si>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</si>
  <si>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</si>
  <si>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</si>
  <si>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</si>
  <si>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</si>
  <si>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</si>
  <si>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</si>
  <si>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</si>
  <si>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</si>
  <si>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</si>
  <si>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</si>
  <si>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</si>
  <si>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</si>
  <si>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</si>
  <si>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</si>
  <si>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</si>
  <si>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</si>
  <si>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</si>
  <si>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</si>
  <si>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</si>
  <si>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</si>
  <si>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</si>
  <si>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</si>
  <si>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</si>
  <si>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</si>
  <si>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</si>
  <si>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</si>
  <si>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</si>
  <si>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</si>
  <si>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</si>
  <si>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</si>
  <si>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</si>
  <si>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</si>
  <si>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</si>
  <si>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</si>
  <si>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</si>
  <si>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</si>
  <si>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</si>
  <si>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</si>
  <si>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</si>
  <si>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</si>
  <si>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</si>
  <si>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</si>
  <si>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</si>
  <si>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</si>
  <si>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</si>
  <si>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</si>
  <si>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</si>
  <si>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</si>
  <si>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</si>
  <si>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</si>
  <si>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</si>
  <si>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</si>
  <si>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</si>
  <si>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</si>
  <si>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</si>
  <si>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</si>
  <si>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</si>
  <si>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</si>
  <si>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</si>
  <si>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</si>
  <si>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</si>
  <si>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</si>
  <si>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</si>
  <si>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</si>
  <si>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</si>
  <si>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</si>
  <si>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</si>
  <si>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</si>
  <si>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</si>
  <si>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</si>
  <si>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</si>
  <si>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</si>
  <si>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</si>
  <si>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</si>
  <si>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</si>
  <si>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</si>
  <si>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</si>
  <si>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</si>
  <si>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</si>
  <si>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</si>
  <si>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</si>
  <si>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</si>
  <si>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</si>
  <si>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</si>
  <si>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</si>
  <si>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</si>
  <si>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</si>
  <si>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</si>
  <si>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</si>
  <si>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</si>
  <si>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</si>
  <si>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</si>
  <si>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</si>
  <si>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</si>
  <si>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</si>
  <si>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</si>
  <si>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</si>
  <si>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</si>
  <si>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</si>
  <si>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</si>
  <si>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</si>
  <si>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</si>
  <si>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</si>
  <si>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</si>
  <si>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</si>
  <si>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</si>
  <si>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</si>
  <si>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</si>
  <si>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</si>
  <si>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</si>
  <si>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</si>
  <si>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</si>
  <si>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</si>
  <si>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</si>
  <si>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</si>
  <si>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</si>
  <si>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</si>
  <si>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</si>
  <si>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</si>
  <si>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</si>
  <si>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</si>
  <si>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</si>
  <si>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</si>
  <si>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</si>
  <si>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</si>
  <si>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</si>
  <si>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</si>
  <si>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</si>
  <si>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</si>
  <si>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</si>
  <si>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</si>
  <si>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</si>
  <si>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</si>
  <si>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</si>
  <si>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</si>
  <si>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</si>
  <si>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</si>
  <si>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</si>
  <si>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</si>
  <si>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</si>
  <si>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</si>
  <si>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</si>
  <si>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</si>
  <si>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</si>
  <si>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</si>
  <si>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</si>
  <si>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</si>
  <si>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</si>
  <si>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</si>
  <si>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</si>
  <si>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</si>
  <si>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</si>
  <si>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</si>
  <si>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</si>
  <si>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</si>
  <si>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</si>
  <si>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</si>
  <si>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</si>
  <si>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</si>
  <si>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</si>
  <si>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</si>
  <si>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</si>
  <si>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</si>
  <si>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</si>
  <si>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</si>
  <si>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</si>
  <si>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</si>
  <si>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</si>
  <si>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</si>
  <si>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</si>
  <si>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</si>
  <si>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</si>
  <si>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</si>
  <si>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</si>
  <si>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</si>
  <si>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</si>
  <si>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</si>
  <si>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</si>
  <si>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</si>
  <si>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</si>
  <si>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</si>
  <si>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</si>
  <si>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</si>
  <si>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</si>
  <si>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</si>
  <si>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</si>
  <si>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</si>
  <si>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</si>
  <si>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</si>
  <si>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</si>
  <si>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</si>
  <si>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</si>
  <si>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</si>
  <si>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</si>
  <si>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</si>
  <si>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</si>
  <si>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</si>
  <si>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</si>
  <si>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</si>
  <si>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</si>
  <si>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</si>
  <si>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</si>
  <si>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</si>
  <si>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</si>
  <si>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</si>
  <si>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</si>
  <si>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</si>
  <si>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</si>
  <si>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</si>
  <si>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</si>
  <si>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</si>
  <si>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</si>
  <si>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</si>
  <si>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</si>
  <si>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</si>
  <si>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</si>
  <si>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</si>
  <si>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</si>
  <si>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</si>
  <si>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</si>
  <si>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</si>
  <si>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</si>
  <si>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</si>
  <si>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</si>
  <si>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</si>
  <si>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</si>
  <si>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</si>
  <si>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</si>
  <si>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</si>
  <si>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</si>
  <si>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</si>
  <si>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</si>
  <si>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</si>
  <si>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</si>
  <si>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</si>
  <si>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</si>
  <si>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</si>
  <si>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</si>
  <si>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</si>
  <si>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</si>
  <si>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</si>
  <si>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</si>
  <si>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</si>
  <si>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</si>
  <si>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</si>
  <si>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</si>
  <si>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</si>
  <si>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</si>
  <si>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</si>
  <si>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</si>
  <si>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</si>
  <si>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</si>
  <si>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</si>
  <si>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</si>
  <si>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</si>
  <si>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</si>
  <si>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</si>
  <si>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</si>
  <si>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</si>
  <si>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</si>
  <si>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</si>
  <si>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</si>
  <si>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</si>
  <si>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</si>
  <si>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</si>
  <si>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</si>
  <si>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</si>
  <si>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</si>
  <si>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</si>
  <si>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</si>
  <si>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</si>
  <si>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</si>
  <si>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</si>
  <si>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</si>
  <si>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</si>
  <si>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</si>
  <si>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</si>
  <si>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</si>
  <si>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</si>
  <si>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</si>
  <si>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</si>
  <si>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</si>
  <si>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</si>
  <si>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</si>
  <si>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</si>
  <si>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</si>
  <si>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</si>
  <si>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</si>
  <si>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</si>
  <si>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</si>
  <si>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</si>
  <si>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</si>
  <si>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</si>
  <si>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</si>
  <si>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</si>
  <si>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</si>
  <si>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</si>
  <si>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</si>
  <si>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</si>
  <si>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</si>
  <si>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</si>
  <si>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</si>
  <si>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</si>
  <si>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</si>
  <si>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</si>
  <si>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</si>
  <si>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</si>
  <si>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</si>
  <si>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</si>
  <si>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</si>
  <si>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</si>
  <si>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</si>
  <si>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</si>
  <si>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</si>
  <si>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</si>
  <si>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</si>
  <si>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</si>
  <si>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</si>
  <si>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</si>
  <si>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</si>
  <si>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</si>
  <si>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</si>
  <si>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</si>
  <si>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</si>
  <si>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</si>
  <si>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</si>
  <si>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</si>
  <si>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</si>
  <si>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</si>
  <si>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</si>
  <si>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</si>
  <si>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</si>
  <si>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</si>
  <si>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</si>
  <si>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</si>
  <si>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</si>
  <si>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</si>
  <si>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</si>
  <si>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</si>
  <si>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</si>
  <si>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</si>
  <si>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</si>
  <si>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</si>
  <si>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</si>
  <si>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</si>
  <si>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</si>
  <si>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</si>
  <si>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</si>
  <si>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</si>
  <si>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</si>
  <si>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</si>
  <si>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</si>
  <si>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</si>
  <si>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</si>
  <si>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</si>
  <si>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</si>
  <si>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</si>
  <si>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</si>
  <si>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</si>
  <si>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</si>
  <si>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</si>
  <si>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</si>
  <si>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</si>
  <si>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</si>
  <si>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</si>
  <si>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</si>
  <si>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</si>
  <si>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</si>
  <si>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</si>
  <si>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</si>
  <si>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</si>
  <si>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</si>
  <si>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</si>
  <si>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</si>
  <si>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</si>
  <si>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</si>
  <si>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</si>
  <si>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</si>
  <si>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</si>
  <si>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</si>
  <si>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</si>
  <si>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</si>
  <si>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</si>
  <si>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</si>
  <si>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</si>
  <si>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</si>
  <si>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</si>
  <si>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</si>
  <si>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</si>
  <si>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</si>
  <si>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</si>
  <si>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</si>
  <si>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</si>
  <si>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</si>
  <si>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</si>
  <si>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</si>
  <si>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</si>
  <si>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</si>
  <si>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</si>
  <si>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</si>
  <si>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</si>
  <si>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</si>
  <si>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</si>
  <si>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</si>
  <si>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</si>
  <si>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</si>
  <si>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</si>
  <si>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</si>
  <si>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</si>
  <si>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</si>
  <si>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</si>
  <si>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</si>
  <si>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</si>
  <si>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</si>
  <si>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</si>
  <si>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</si>
  <si>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</si>
  <si>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</si>
  <si>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</si>
  <si>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</si>
  <si>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</si>
  <si>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</si>
  <si>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</si>
  <si>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</si>
  <si>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</si>
  <si>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</si>
  <si>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</si>
  <si>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</si>
  <si>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</si>
  <si>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</si>
  <si>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</si>
  <si>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</si>
  <si>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</si>
  <si>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</si>
  <si>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</si>
  <si>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</si>
  <si>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</si>
  <si>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</si>
  <si>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</si>
  <si>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</si>
  <si>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</si>
  <si>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</si>
  <si>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</si>
  <si>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</si>
  <si>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</si>
  <si>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</si>
  <si>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</si>
  <si>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</si>
  <si>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</si>
  <si>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</si>
  <si>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</si>
  <si>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</si>
  <si>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</si>
  <si>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</si>
  <si>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</si>
  <si>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</si>
  <si>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</si>
  <si>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</si>
  <si>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</si>
  <si>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</si>
  <si>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</si>
  <si>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</si>
  <si>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</si>
  <si>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</si>
  <si>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</si>
  <si>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</si>
  <si>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</si>
  <si>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</si>
  <si>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</si>
  <si>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</si>
  <si>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</si>
  <si>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</si>
  <si>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</si>
  <si>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</si>
  <si>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</si>
  <si>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</si>
  <si>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</si>
  <si>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</si>
  <si>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</si>
  <si>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</si>
  <si>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</si>
  <si>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</si>
  <si>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</si>
  <si>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</si>
  <si>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</si>
  <si>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</si>
  <si>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</si>
  <si>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</si>
  <si>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</si>
  <si>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</si>
  <si>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</si>
  <si>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</si>
  <si>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</si>
  <si>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</si>
  <si>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</si>
  <si>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</si>
  <si>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</si>
  <si>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</si>
  <si>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</si>
  <si>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</si>
  <si>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</si>
  <si>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</si>
  <si>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</si>
  <si>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</si>
  <si>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</si>
  <si>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</si>
  <si>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</si>
  <si>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</si>
  <si>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</si>
  <si>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</si>
  <si>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</si>
  <si>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</si>
  <si>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</si>
  <si>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</si>
  <si>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</si>
  <si>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</si>
  <si>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</si>
  <si>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</si>
  <si>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</si>
  <si>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</si>
  <si>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</si>
  <si>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</si>
  <si>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</si>
  <si>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</si>
  <si>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</si>
  <si>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</si>
  <si>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</si>
  <si>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</si>
  <si>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</si>
  <si>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</si>
  <si>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</si>
  <si>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</si>
  <si>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</si>
  <si>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</si>
  <si>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</si>
  <si>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</si>
  <si>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</si>
  <si>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</si>
  <si>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</si>
  <si>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</si>
  <si>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</si>
  <si>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</si>
  <si>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</si>
  <si>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</si>
  <si>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</si>
  <si>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</si>
  <si>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</si>
  <si>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</si>
  <si>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</si>
  <si>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</si>
  <si>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</si>
  <si>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</si>
  <si>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</si>
  <si>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</si>
  <si>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</si>
  <si>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</si>
  <si>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</si>
  <si>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</si>
  <si>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</si>
  <si>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</si>
  <si>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</si>
  <si>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</si>
  <si>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</si>
  <si>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</si>
  <si>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</si>
  <si>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</si>
  <si>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</si>
  <si>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</si>
  <si>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</si>
  <si>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</si>
  <si>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</si>
  <si>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</si>
  <si>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</si>
  <si>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</si>
  <si>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</si>
  <si>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</si>
  <si>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</si>
  <si>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</si>
  <si>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</si>
  <si>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</si>
  <si>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</si>
  <si>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</si>
  <si>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</si>
  <si>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</si>
  <si>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</si>
  <si>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</si>
  <si>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</si>
  <si>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</si>
  <si>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</si>
  <si>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</si>
  <si>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</si>
  <si>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</si>
  <si>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</si>
  <si>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</si>
  <si>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</si>
  <si>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</si>
  <si>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</si>
  <si>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</si>
  <si>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</si>
  <si>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</si>
  <si>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</si>
  <si>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</si>
  <si>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</si>
  <si>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</si>
  <si>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</si>
  <si>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</si>
  <si>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</si>
  <si>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</si>
  <si>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</si>
  <si>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</si>
  <si>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</si>
  <si>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</si>
  <si>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</si>
  <si>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</si>
  <si>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</si>
  <si>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</si>
  <si>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</si>
  <si>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</si>
  <si>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</si>
  <si>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</si>
  <si>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</si>
  <si>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</si>
  <si>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</si>
  <si>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</si>
  <si>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</si>
  <si>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</si>
  <si>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</si>
  <si>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</si>
  <si>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</si>
  <si>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</si>
  <si>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</si>
  <si>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</si>
  <si>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</si>
  <si>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</si>
  <si>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</si>
  <si>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</si>
  <si>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</si>
  <si>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</si>
  <si>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</si>
  <si>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</si>
  <si>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</si>
  <si>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</si>
  <si>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</si>
  <si>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</si>
  <si>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</si>
  <si>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</si>
  <si>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</si>
  <si>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</si>
  <si>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</si>
  <si>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</si>
  <si>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</si>
  <si>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</si>
  <si>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</si>
  <si>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</si>
  <si>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</si>
  <si>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</si>
  <si>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</si>
  <si>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</si>
  <si>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</si>
  <si>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</si>
  <si>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</si>
  <si>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</si>
  <si>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</si>
  <si>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</si>
  <si>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</si>
  <si>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</si>
  <si>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</si>
  <si>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</si>
  <si>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</si>
  <si>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</si>
  <si>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</si>
  <si>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</si>
  <si>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</si>
  <si>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</si>
  <si>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</si>
  <si>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</si>
  <si>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</si>
  <si>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</si>
  <si>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</si>
  <si>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</si>
  <si>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</si>
  <si>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</si>
  <si>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</si>
  <si>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</si>
  <si>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</si>
  <si>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</si>
  <si>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</si>
  <si>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</si>
  <si>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</si>
  <si>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</si>
  <si>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</si>
  <si>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</si>
  <si>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</si>
  <si>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</si>
  <si>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</si>
  <si>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</si>
  <si>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</si>
  <si>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</si>
  <si>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</si>
  <si>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</si>
  <si>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</si>
  <si>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</si>
  <si>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</si>
  <si>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</si>
  <si>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</si>
  <si>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</si>
  <si>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</si>
  <si>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</si>
  <si>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</si>
  <si>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</si>
  <si>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</si>
  <si>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</si>
  <si>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</si>
  <si>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</si>
  <si>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</si>
  <si>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</si>
  <si>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</si>
  <si>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</si>
  <si>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</si>
  <si>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</si>
  <si>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</si>
  <si>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</si>
  <si>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</si>
  <si>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</si>
  <si>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</si>
  <si>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</si>
  <si>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</si>
  <si>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</si>
  <si>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</si>
  <si>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</si>
  <si>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</si>
  <si>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</si>
  <si>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</si>
  <si>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</si>
  <si>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</si>
  <si>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</si>
  <si>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</si>
  <si>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</si>
  <si>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</si>
  <si>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</si>
  <si>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</si>
  <si>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</si>
  <si>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</si>
  <si>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</si>
  <si>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</si>
  <si>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</si>
  <si>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</si>
  <si>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</si>
  <si>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</si>
  <si>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</si>
  <si>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</si>
  <si>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</si>
  <si>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</si>
  <si>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</si>
  <si>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</si>
  <si>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</si>
  <si>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</si>
  <si>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</si>
  <si>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</si>
  <si>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</si>
  <si>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</si>
  <si>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</si>
  <si>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</si>
  <si>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</si>
  <si>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</si>
  <si>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</si>
  <si>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</si>
  <si>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</si>
  <si>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</si>
  <si>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</si>
  <si>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</si>
  <si>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</si>
  <si>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</si>
  <si>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</si>
  <si>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</si>
  <si>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</si>
  <si>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</si>
  <si>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</si>
  <si>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</si>
  <si>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</si>
  <si>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</si>
  <si>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</si>
  <si>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</si>
  <si>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</si>
  <si>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</si>
  <si>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</si>
  <si>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</si>
  <si>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</si>
  <si>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</si>
  <si>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</si>
  <si>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</si>
  <si>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</si>
  <si>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</si>
  <si>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</si>
  <si>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</si>
  <si>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</si>
  <si>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</si>
  <si>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</si>
  <si>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</si>
  <si>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</si>
  <si>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</si>
  <si>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</si>
  <si>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</si>
  <si>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</si>
  <si>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</si>
  <si>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</si>
  <si>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</si>
  <si>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</si>
  <si>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</si>
  <si>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</si>
  <si>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</si>
  <si>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</si>
  <si>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</si>
  <si>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</si>
  <si>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</si>
  <si>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</si>
  <si>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</si>
  <si>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</si>
  <si>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</si>
  <si>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</si>
  <si>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</si>
  <si>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</si>
  <si>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</si>
  <si>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</si>
  <si>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</si>
  <si>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</si>
  <si>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</si>
  <si>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</si>
  <si>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</si>
  <si>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</si>
  <si>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</si>
  <si>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</si>
  <si>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</si>
  <si>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</si>
  <si>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</si>
  <si>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</si>
  <si>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</si>
  <si>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</si>
  <si>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</si>
  <si>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</si>
  <si>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</si>
  <si>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</si>
  <si>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</si>
  <si>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</si>
  <si>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</si>
  <si>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</si>
  <si>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</si>
  <si>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</si>
  <si>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</si>
  <si>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</si>
  <si>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</si>
  <si>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</si>
  <si>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</si>
  <si>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</si>
  <si>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</si>
  <si>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</si>
  <si>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</si>
  <si>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</si>
  <si>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</si>
  <si>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</si>
  <si>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</si>
  <si>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</si>
  <si>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</si>
  <si>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</si>
  <si>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</si>
  <si>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</si>
  <si>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</si>
  <si>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</si>
  <si>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</si>
  <si>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</si>
  <si>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</si>
  <si>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</si>
  <si>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</si>
  <si>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</si>
  <si>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</si>
  <si>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</si>
  <si>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</si>
  <si>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</si>
  <si>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</si>
  <si>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</si>
  <si>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</si>
  <si>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</si>
  <si>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</si>
  <si>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</si>
  <si>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</si>
  <si>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</si>
  <si>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</si>
  <si>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</si>
  <si>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</si>
  <si>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</si>
  <si>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</si>
  <si>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</si>
  <si>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</si>
  <si>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</si>
  <si>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</si>
  <si>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</si>
  <si>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</si>
  <si>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</si>
  <si>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</si>
  <si>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</si>
  <si>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</si>
  <si>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</si>
  <si>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</si>
  <si>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</si>
  <si>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</si>
  <si>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</si>
  <si>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</si>
  <si>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</si>
  <si>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</si>
  <si>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</si>
  <si>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</si>
  <si>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</si>
  <si>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</si>
  <si>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</si>
  <si>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</si>
  <si>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</si>
  <si>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</si>
  <si>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</si>
  <si>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</si>
  <si>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</si>
  <si>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</si>
  <si>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</si>
  <si>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</si>
  <si>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</si>
  <si>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</si>
  <si>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</si>
  <si>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</si>
  <si>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</si>
  <si>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</si>
  <si>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</si>
  <si>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</si>
  <si>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</si>
  <si>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</si>
  <si>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</si>
  <si>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</si>
  <si>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</si>
  <si>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</si>
  <si>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</si>
  <si>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</si>
  <si>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</si>
  <si>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</si>
  <si>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</si>
  <si>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</si>
  <si>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</si>
  <si>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</si>
  <si>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</si>
  <si>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</si>
  <si>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</si>
  <si>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</si>
  <si>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</si>
  <si>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</si>
  <si>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</si>
  <si>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</si>
  <si>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</si>
  <si>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</si>
  <si>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</si>
  <si>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</si>
  <si>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</si>
  <si>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</si>
  <si>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</si>
  <si>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</si>
  <si>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</si>
  <si>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</si>
  <si>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</si>
  <si>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</si>
  <si>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</si>
  <si>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</si>
  <si>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</si>
  <si>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</si>
  <si>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</si>
  <si>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</si>
  <si>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</si>
  <si>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</si>
  <si>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</si>
  <si>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</si>
  <si>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</si>
  <si>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</si>
  <si>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</si>
  <si>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</si>
  <si>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</si>
  <si>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</si>
  <si>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</si>
  <si>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</si>
  <si>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</si>
  <si>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</si>
  <si>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</si>
  <si>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</si>
  <si>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</si>
  <si>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</si>
  <si>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</si>
  <si>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</si>
  <si>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</si>
  <si>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</si>
  <si>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</si>
  <si>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</si>
  <si>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</si>
  <si>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</si>
  <si>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</si>
  <si>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</si>
  <si>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</si>
  <si>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</si>
  <si>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</si>
  <si>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</si>
  <si>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</si>
  <si>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</si>
  <si>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</si>
  <si>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</si>
  <si>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</si>
  <si>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</si>
  <si>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</si>
  <si>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</si>
  <si>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</si>
  <si>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</si>
  <si>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</si>
  <si>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</si>
  <si>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</si>
  <si>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</si>
  <si>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</si>
  <si>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</si>
  <si>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</si>
  <si>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</si>
  <si>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</si>
  <si>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</si>
  <si>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</si>
  <si>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</si>
  <si>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</si>
  <si>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</si>
  <si>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</si>
  <si>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</si>
  <si>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</si>
  <si>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</si>
  <si>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</si>
  <si>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</si>
  <si>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</si>
  <si>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</si>
  <si>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</si>
  <si>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</si>
  <si>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</si>
  <si>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</si>
  <si>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</si>
  <si>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</si>
  <si>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</si>
  <si>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</si>
  <si>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</si>
  <si>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</si>
  <si>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</si>
  <si>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</si>
  <si>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</si>
  <si>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</si>
  <si>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</si>
  <si>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</si>
  <si>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</si>
  <si>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</si>
  <si>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</si>
  <si>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</si>
  <si>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</si>
  <si>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</si>
  <si>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</si>
  <si>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</si>
  <si>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</si>
  <si>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</si>
  <si>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</si>
  <si>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</si>
  <si>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</si>
  <si>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</si>
  <si>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</si>
  <si>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</si>
  <si>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</si>
  <si>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</si>
  <si>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</si>
  <si>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</si>
  <si>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</si>
  <si>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</si>
  <si>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</si>
  <si>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</si>
  <si>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</si>
  <si>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</si>
  <si>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</si>
  <si>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</si>
  <si>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</si>
  <si>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</si>
  <si>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</si>
  <si>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</si>
  <si>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</si>
  <si>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</si>
  <si>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</si>
  <si>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</si>
  <si>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</si>
  <si>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</si>
  <si>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</si>
  <si>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</si>
  <si>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</si>
  <si>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</si>
  <si>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</si>
  <si>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</si>
  <si>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</si>
  <si>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</si>
  <si>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</si>
  <si>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</si>
  <si>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</si>
  <si>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</si>
  <si>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</si>
  <si>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</si>
  <si>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</si>
  <si>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</si>
  <si>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</si>
  <si>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</si>
  <si>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</si>
  <si>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</si>
  <si>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</si>
  <si>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</si>
  <si>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</si>
  <si>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</si>
  <si>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</si>
  <si>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</si>
  <si>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</si>
  <si>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</si>
  <si>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</si>
  <si>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</si>
  <si>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</si>
  <si>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</si>
  <si>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</si>
  <si>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</si>
  <si>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</si>
  <si>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</si>
  <si>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</si>
  <si>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</si>
  <si>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</si>
  <si>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</si>
  <si>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</si>
  <si>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</si>
  <si>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</si>
  <si>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</si>
  <si>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</si>
  <si>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</si>
  <si>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</si>
  <si>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</si>
  <si>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</si>
  <si>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</si>
  <si>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</si>
  <si>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</si>
  <si>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</si>
  <si>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</si>
  <si>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</si>
  <si>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</si>
  <si>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</si>
  <si>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</si>
  <si>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</si>
  <si>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</si>
  <si>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</si>
  <si>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</si>
  <si>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</si>
  <si>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</si>
  <si>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</si>
  <si>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</si>
  <si>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</si>
  <si>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</si>
  <si>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</si>
  <si>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</si>
  <si>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</si>
  <si>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</si>
  <si>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</si>
  <si>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</si>
  <si>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</si>
  <si>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</si>
  <si>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</si>
  <si>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</si>
  <si>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</si>
  <si>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</si>
  <si>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</si>
  <si>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</si>
  <si>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</si>
  <si>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</si>
  <si>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</si>
  <si>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</si>
  <si>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</si>
  <si>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</si>
  <si>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</si>
  <si>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</si>
  <si>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</si>
  <si>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</si>
  <si>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</si>
  <si>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</si>
  <si>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</si>
  <si>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</si>
  <si>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</si>
  <si>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</si>
  <si>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</si>
  <si>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</si>
  <si>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</si>
  <si>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</si>
  <si>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</si>
  <si>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</si>
  <si>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</si>
  <si>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</si>
  <si>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</si>
  <si>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</si>
  <si>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</si>
  <si>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</si>
  <si>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</si>
  <si>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</si>
  <si>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</si>
  <si>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</si>
  <si>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</si>
  <si>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</si>
  <si>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</si>
  <si>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</si>
  <si>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</si>
  <si>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</si>
  <si>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</si>
  <si>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</si>
  <si>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</si>
  <si>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</si>
  <si>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</si>
  <si>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</si>
  <si>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</si>
  <si>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</si>
  <si>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</si>
  <si>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</si>
  <si>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</si>
  <si>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</si>
  <si>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</si>
  <si>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</si>
  <si>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</si>
  <si>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</si>
  <si>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</si>
  <si>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</si>
  <si>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</si>
  <si>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</si>
  <si>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</si>
  <si>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</si>
  <si>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</si>
  <si>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</si>
  <si>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</si>
  <si>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</si>
  <si>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</si>
  <si>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</si>
  <si>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</si>
  <si>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</si>
  <si>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</si>
  <si>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</si>
  <si>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</si>
  <si>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</si>
  <si>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</si>
  <si>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</si>
  <si>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</si>
  <si>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</si>
  <si>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</si>
  <si>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</si>
  <si>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</si>
  <si>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</si>
  <si>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</si>
  <si>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</si>
  <si>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</si>
  <si>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</si>
  <si>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</si>
  <si>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</si>
  <si>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</si>
  <si>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</si>
  <si>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</si>
  <si>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</si>
  <si>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</si>
  <si>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</si>
  <si>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</si>
  <si>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</si>
  <si>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</si>
  <si>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</si>
  <si>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</si>
  <si>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</si>
  <si>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</si>
  <si>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</si>
  <si>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</si>
  <si>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</si>
  <si>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</si>
  <si>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</si>
  <si>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</si>
  <si>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</si>
  <si>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</si>
  <si>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</si>
  <si>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</si>
  <si>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</si>
  <si>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</si>
  <si>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</si>
  <si>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</si>
  <si>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</si>
  <si>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</si>
  <si>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</si>
  <si>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</si>
  <si>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</si>
  <si>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</si>
  <si>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</si>
  <si>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</si>
  <si>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</si>
  <si>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</si>
  <si>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</si>
  <si>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</si>
  <si>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</si>
  <si>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</si>
  <si>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</si>
  <si>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</si>
  <si>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</si>
  <si>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</si>
  <si>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</si>
  <si>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</si>
  <si>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</si>
  <si>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</si>
  <si>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</si>
  <si>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</si>
  <si>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</si>
  <si>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</si>
  <si>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</si>
  <si>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</si>
  <si>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</si>
  <si>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</si>
  <si>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</si>
  <si>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</si>
  <si>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</si>
  <si>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</si>
  <si>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</si>
  <si>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</si>
  <si>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</si>
  <si>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</si>
  <si>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</si>
  <si>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</si>
  <si>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</si>
  <si>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</si>
  <si>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</si>
  <si>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</si>
  <si>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</si>
  <si>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</si>
  <si>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</si>
  <si>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</si>
  <si>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</si>
  <si>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</si>
  <si>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</si>
  <si>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</si>
  <si>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</si>
  <si>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</si>
  <si>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</si>
  <si>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</si>
  <si>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</si>
  <si>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</si>
  <si>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</si>
  <si>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</si>
  <si>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</si>
  <si>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</si>
  <si>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</si>
  <si>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</si>
  <si>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</si>
  <si>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</si>
  <si>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</si>
  <si>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</si>
  <si>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</si>
  <si>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</si>
  <si>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</si>
  <si>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</si>
  <si>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</si>
  <si>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</si>
  <si>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</si>
  <si>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</si>
  <si>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NP-NCT120722N01</t>
  </si>
  <si>
    <t>NP-NCT220622N02</t>
  </si>
  <si>
    <t>NP-TC270622N02</t>
  </si>
  <si>
    <t>NP-HSD110722N01</t>
  </si>
  <si>
    <t>NP-DCCSD290122N02</t>
  </si>
  <si>
    <t>NP-DCCSD110722N04</t>
  </si>
  <si>
    <t>NP-N2S120722N04</t>
  </si>
  <si>
    <t>NP-A2B110722N01</t>
  </si>
  <si>
    <t>NP-A2B3120722N04</t>
  </si>
  <si>
    <t>NP-N2B120722N04</t>
  </si>
  <si>
    <t>NP-AHN291121N01</t>
  </si>
  <si>
    <t>NP-AHN130722N04</t>
  </si>
  <si>
    <t>NP-TH2S120722N05</t>
  </si>
  <si>
    <t>NP-ĐBTH130722N2</t>
  </si>
  <si>
    <t>NP-LP130722N01</t>
  </si>
  <si>
    <t>NP-AHB130722N04</t>
  </si>
  <si>
    <t>NP-C2S140722N04</t>
  </si>
  <si>
    <t>NP-P2S140722N04</t>
  </si>
  <si>
    <t>NP-TC110722N02</t>
  </si>
  <si>
    <t>NP-TMH140722N04</t>
  </si>
  <si>
    <t>Đen-Chuối</t>
  </si>
  <si>
    <t>NP-CKN150722N04</t>
  </si>
  <si>
    <t>Tomy CSD</t>
  </si>
  <si>
    <t>NP-TCSD150722N04</t>
  </si>
  <si>
    <t>NP-OT150722N01</t>
  </si>
  <si>
    <t>NP-DDBX120722N03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</si>
</sst>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49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0" fillId="5" borderId="8" xfId="0" applyFont="1" applyFill="1" applyBorder="1"/>
    <xf numFmtId="14" fontId="1" fillId="0" borderId="8" xfId="2" applyNumberFormat="1" applyFont="1" applyBorder="1" applyAlignment="1"/>
    <xf numFmtId="0" fontId="1" fillId="0" borderId="2" xfId="2" applyNumberFormat="1" applyFont="1" applyBorder="1" applyAlignment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29" totalsRowShown="0" headerRowDxfId="157" headerRowBorderDxfId="156" tableBorderDxfId="155" totalsRowBorderDxfId="154" headerRowCellStyle="Normal 2">
  <autoFilter ref="A3:O4629">
    <filterColumn colId="7">
      <customFilters>
        <customFilter operator="notEqual" val=" "/>
      </customFilters>
    </filterColumn>
    <filterColumn colId="14">
      <filters blank="1"/>
    </filterColumn>
  </autoFilter>
  <sortState ref="A1294:O4632">
    <sortCondition ref="A3:A4632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27:Q6041">
    <sortCondition ref="A1:A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29"/>
  <sheetViews>
    <sheetView topLeftCell="B4340" zoomScaleNormal="100" workbookViewId="0">
      <selection activeCell="A3" sqref="A3:O4386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2440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2440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2175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2175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2175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2175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2123</v>
      </c>
      <c r="B45" s="9" t="s">
        <v>2122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2213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2213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2440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2440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2345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2251</v>
      </c>
      <c r="B151" s="250" t="s">
        <v>2250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2528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2063</v>
      </c>
      <c r="B193" s="9" t="s">
        <v>2062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2217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2394</v>
      </c>
      <c r="B195" s="9" t="s">
        <v>2344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2394</v>
      </c>
      <c r="B196" s="9" t="s">
        <v>2344</v>
      </c>
      <c r="C196" s="76">
        <v>44607</v>
      </c>
      <c r="D196" s="264"/>
      <c r="E196" s="250" t="s">
        <v>2053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2394</v>
      </c>
      <c r="B197" s="9" t="s">
        <v>2344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2394</v>
      </c>
      <c r="B198" s="250" t="s">
        <v>2367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2394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2394</v>
      </c>
      <c r="B203" s="250" t="s">
        <v>1926</v>
      </c>
      <c r="C203" s="76">
        <v>44607</v>
      </c>
      <c r="D203" s="264"/>
      <c r="E203" s="250" t="s">
        <v>2278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2394</v>
      </c>
      <c r="B204" s="250" t="s">
        <v>2252</v>
      </c>
      <c r="C204" s="76">
        <v>44607</v>
      </c>
      <c r="D204" s="264"/>
      <c r="E204" s="250" t="s">
        <v>2253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2394</v>
      </c>
      <c r="B205" s="250" t="s">
        <v>2252</v>
      </c>
      <c r="C205" s="76">
        <v>44607</v>
      </c>
      <c r="D205" s="264"/>
      <c r="E205" s="250" t="s">
        <v>2280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2394</v>
      </c>
      <c r="B206" s="250" t="s">
        <v>2252</v>
      </c>
      <c r="C206" s="76">
        <v>44607</v>
      </c>
      <c r="D206" s="264"/>
      <c r="E206" s="250" t="s">
        <v>2254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2394</v>
      </c>
      <c r="B207" s="250" t="s">
        <v>2252</v>
      </c>
      <c r="C207" s="76">
        <v>44607</v>
      </c>
      <c r="D207" s="264"/>
      <c r="E207" s="250" t="s">
        <v>2266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2394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2394</v>
      </c>
      <c r="B209" s="250" t="s">
        <v>1962</v>
      </c>
      <c r="C209" s="76">
        <v>44607</v>
      </c>
      <c r="D209" s="264"/>
      <c r="E209" s="250" t="s">
        <v>2053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2394</v>
      </c>
      <c r="B210" s="316" t="s">
        <v>2344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2053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2231</v>
      </c>
      <c r="B228" s="9" t="s">
        <v>2230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2272</v>
      </c>
      <c r="B229" s="9" t="s">
        <v>2261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2272</v>
      </c>
      <c r="B230" s="9" t="s">
        <v>2261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2272</v>
      </c>
      <c r="B231" s="9" t="s">
        <v>2261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2272</v>
      </c>
      <c r="B232" s="9" t="s">
        <v>2261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2272</v>
      </c>
      <c r="B233" s="9" t="s">
        <v>2270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2272</v>
      </c>
      <c r="B234" s="9" t="s">
        <v>2270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2272</v>
      </c>
      <c r="B235" s="9" t="s">
        <v>2270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2272</v>
      </c>
      <c r="B236" s="9" t="s">
        <v>2270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2272</v>
      </c>
      <c r="B237" s="9" t="s">
        <v>2262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2272</v>
      </c>
      <c r="B238" s="9" t="s">
        <v>2262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2272</v>
      </c>
      <c r="B239" s="9" t="s">
        <v>2262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2272</v>
      </c>
      <c r="B240" s="9" t="s">
        <v>2262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2272</v>
      </c>
      <c r="B241" s="9" t="s">
        <v>2271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2272</v>
      </c>
      <c r="B242" s="9" t="s">
        <v>2271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2272</v>
      </c>
      <c r="B243" s="9" t="s">
        <v>2271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2272</v>
      </c>
      <c r="B244" s="9" t="s">
        <v>2271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2528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2528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2055</v>
      </c>
      <c r="B247" s="14" t="s">
        <v>2054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2055</v>
      </c>
      <c r="B248" s="14" t="s">
        <v>2054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2055</v>
      </c>
      <c r="B249" s="14" t="s">
        <v>2054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2055</v>
      </c>
      <c r="B250" s="9" t="s">
        <v>2054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2046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2046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2046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2046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2046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2060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2060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2060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2528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2439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2439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2439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2439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2568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2568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2568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2049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2049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2049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2058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2058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2058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2058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2174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2174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2174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2174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2174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2174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2061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2061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2061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2061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2061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2061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2061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2061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2061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2061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2061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2106</v>
      </c>
      <c r="B293" s="9" t="s">
        <v>2059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2106</v>
      </c>
      <c r="B294" s="9" t="s">
        <v>2059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2106</v>
      </c>
      <c r="B295" s="9" t="s">
        <v>2059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2106</v>
      </c>
      <c r="B296" s="9" t="s">
        <v>2059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2304</v>
      </c>
      <c r="B297" s="9" t="s">
        <v>2303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2075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2075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2075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2075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2079</v>
      </c>
      <c r="B302" s="9" t="s">
        <v>2078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2568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2183</v>
      </c>
      <c r="B304" s="9" t="s">
        <v>2182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2183</v>
      </c>
      <c r="B305" s="9" t="s">
        <v>2182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2183</v>
      </c>
      <c r="B306" s="9" t="s">
        <v>2182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2098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2098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2098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2098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2142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2142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2142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2142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2142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2040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2040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2040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2040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2040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2112</v>
      </c>
      <c r="B334" s="9" t="s">
        <v>2111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2112</v>
      </c>
      <c r="B335" s="9" t="s">
        <v>2111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2112</v>
      </c>
      <c r="B336" s="9" t="s">
        <v>2111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2112</v>
      </c>
      <c r="B337" s="9" t="s">
        <v>2111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2263</v>
      </c>
      <c r="B338" s="9" t="s">
        <v>2246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2135</v>
      </c>
      <c r="B342" s="316" t="s">
        <v>2054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2135</v>
      </c>
      <c r="B343" s="316" t="s">
        <v>2054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2135</v>
      </c>
      <c r="B344" s="316" t="s">
        <v>2054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2135</v>
      </c>
      <c r="B345" s="9" t="s">
        <v>2054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2171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2171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2171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2171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2171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2171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2183</v>
      </c>
      <c r="B356" s="316" t="s">
        <v>2182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2571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2300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2300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2300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2300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2571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2571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2571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2508</v>
      </c>
      <c r="B365" s="9" t="s">
        <v>2182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2343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2343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2343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2343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2227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2227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2227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2227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2377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2377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2377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2377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2402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2402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2402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2402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2048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2048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2048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2048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2169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2169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2169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2169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2095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2095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2508</v>
      </c>
      <c r="B463" s="9" t="s">
        <v>2182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2508</v>
      </c>
      <c r="B464" s="9" t="s">
        <v>2182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2508</v>
      </c>
      <c r="B465" s="9" t="s">
        <v>2182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2570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2140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2140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2140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2362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2362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2362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2362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2361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2361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2096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2096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2375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2375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2375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2375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2141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2141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2141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2141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2033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2033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2033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2096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2096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2033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2180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2180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2180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2180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2096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2179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2179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2570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2463</v>
      </c>
      <c r="B687" s="250" t="s">
        <v>2462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2463</v>
      </c>
      <c r="B688" s="316" t="s">
        <v>2462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2365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2365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2365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2365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2274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2274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2274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2274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2438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2438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2463</v>
      </c>
      <c r="B745" s="316" t="s">
        <v>2462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2463</v>
      </c>
      <c r="B746" s="316" t="s">
        <v>2462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2632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2632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2632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2632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2547</v>
      </c>
      <c r="B751" s="9" t="s">
        <v>2182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2547</v>
      </c>
      <c r="B752" s="9" t="s">
        <v>2182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2273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2273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2547</v>
      </c>
      <c r="B815" s="9" t="s">
        <v>2182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2452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2452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2452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2452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2435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2435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2435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2057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2090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2435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2547</v>
      </c>
      <c r="B852" s="9" t="s">
        <v>2182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2631</v>
      </c>
      <c r="B853" s="321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2631</v>
      </c>
      <c r="B854" s="321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2091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2091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2091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2091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2034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2134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2134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2134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2134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2177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2177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2631</v>
      </c>
      <c r="B905" s="321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2459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2459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2459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2459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2114</v>
      </c>
      <c r="B915" s="9" t="s">
        <v>2113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2114</v>
      </c>
      <c r="B916" s="9" t="s">
        <v>2113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2114</v>
      </c>
      <c r="B917" s="9" t="s">
        <v>2113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2114</v>
      </c>
      <c r="B918" s="9" t="s">
        <v>2113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2037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2037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2037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2037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2415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2415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2415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2415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2431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2431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2431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2431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2294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2294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2294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2294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2631</v>
      </c>
      <c r="B1000" s="321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2668</v>
      </c>
      <c r="B1001" s="320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2668</v>
      </c>
      <c r="B1002" s="320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2668</v>
      </c>
      <c r="B1003" s="320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2319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2319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2319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2319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2360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2360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2360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2360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2128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2128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2256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2256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2256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2256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2129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2129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2129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2129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2370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2370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2370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2370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2036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2397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2397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2397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2397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2107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2107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2107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2107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2314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2314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2232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2232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2232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2337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2337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2337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2285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2285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2504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2504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2433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2162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2162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2162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2162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2045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2045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2045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2045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2299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2299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2414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2414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2414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2414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2176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2176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2176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2176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2315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2315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2433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2433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2433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2504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2316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2316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2316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2316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2120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2120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2120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2120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2284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2284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2376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2376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2376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2376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2504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2089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2668</v>
      </c>
      <c r="B1281" s="320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2671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4"/>
      <c r="O1282" s="251" t="s">
        <v>1074</v>
      </c>
    </row>
    <row r="1283" spans="1:15" hidden="1" x14ac:dyDescent="0.35">
      <c r="A1283" s="249" t="s">
        <v>2671</v>
      </c>
      <c r="B1283" s="321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4"/>
      <c r="O1283" s="251" t="s">
        <v>1074</v>
      </c>
    </row>
    <row r="1284" spans="1:15" hidden="1" x14ac:dyDescent="0.35">
      <c r="A1284" s="249" t="s">
        <v>2064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2064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2064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2064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2211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2211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2211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2211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2671</v>
      </c>
      <c r="B1292" s="321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4"/>
      <c r="O1292" s="251" t="s">
        <v>1074</v>
      </c>
    </row>
    <row r="1293" spans="1:15" hidden="1" x14ac:dyDescent="0.35">
      <c r="A1293" s="249" t="s">
        <v>2671</v>
      </c>
      <c r="B1293" s="321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4"/>
      <c r="O1293" s="251" t="s">
        <v>1074</v>
      </c>
    </row>
    <row r="1294" spans="1:15" hidden="1" x14ac:dyDescent="0.35">
      <c r="A1294" s="249" t="s">
        <v>2396</v>
      </c>
      <c r="B1294" s="322" t="s">
        <v>2391</v>
      </c>
      <c r="C1294" s="76">
        <v>44649</v>
      </c>
      <c r="D1294" s="264"/>
      <c r="E1294" s="250" t="s">
        <v>75</v>
      </c>
      <c r="F1294" s="77">
        <v>600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282"/>
      <c r="O1294" s="81"/>
    </row>
    <row r="1295" spans="1:15" hidden="1" x14ac:dyDescent="0.35">
      <c r="A1295" s="249" t="s">
        <v>2458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2458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2458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2458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hidden="1" x14ac:dyDescent="0.35">
      <c r="A1308" s="249" t="s">
        <v>2396</v>
      </c>
      <c r="B1308" s="151" t="s">
        <v>2391</v>
      </c>
      <c r="C1308" s="76">
        <v>44649</v>
      </c>
      <c r="D1308" s="264"/>
      <c r="E1308" s="250" t="s">
        <v>2039</v>
      </c>
      <c r="F1308" s="77">
        <v>600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0</v>
      </c>
      <c r="L1308" s="78"/>
      <c r="M1308" s="80"/>
      <c r="N1308" s="282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2307</v>
      </c>
      <c r="B1313" s="9" t="s">
        <v>2143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2307</v>
      </c>
      <c r="B1314" s="9" t="s">
        <v>2143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2307</v>
      </c>
      <c r="B1315" s="9" t="s">
        <v>2143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2307</v>
      </c>
      <c r="B1316" s="9" t="s">
        <v>2143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2369</v>
      </c>
      <c r="B1325" s="9" t="s">
        <v>2143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2369</v>
      </c>
      <c r="B1326" s="9" t="s">
        <v>2143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2369</v>
      </c>
      <c r="B1327" s="9" t="s">
        <v>2143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2369</v>
      </c>
      <c r="B1328" s="9" t="s">
        <v>2143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2144</v>
      </c>
      <c r="B1337" s="9" t="s">
        <v>2143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2144</v>
      </c>
      <c r="B1338" s="9" t="s">
        <v>2143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2144</v>
      </c>
      <c r="B1339" s="9" t="s">
        <v>2143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2144</v>
      </c>
      <c r="B1340" s="9" t="s">
        <v>2143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2589</v>
      </c>
      <c r="B1341" s="157" t="s">
        <v>1088</v>
      </c>
      <c r="C1341" s="76">
        <v>44691</v>
      </c>
      <c r="D1341" s="235"/>
      <c r="E1341" s="250" t="s">
        <v>2624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2589</v>
      </c>
      <c r="B1342" s="157" t="s">
        <v>1088</v>
      </c>
      <c r="C1342" s="76">
        <v>44691</v>
      </c>
      <c r="D1342" s="235"/>
      <c r="E1342" s="250" t="s">
        <v>2592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2589</v>
      </c>
      <c r="B1343" s="190" t="s">
        <v>1088</v>
      </c>
      <c r="C1343" s="76">
        <v>44691</v>
      </c>
      <c r="D1343" s="235"/>
      <c r="E1343" s="250" t="s">
        <v>2591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2545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2545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2545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2545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2589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2103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2103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2103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2103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hidden="1" x14ac:dyDescent="0.35">
      <c r="A1357" s="249" t="s">
        <v>2726</v>
      </c>
      <c r="B1357" s="157" t="s">
        <v>1088</v>
      </c>
      <c r="C1357" s="76">
        <v>44727</v>
      </c>
      <c r="D1357" s="235"/>
      <c r="E1357" s="250" t="s">
        <v>2624</v>
      </c>
      <c r="F1357" s="88">
        <v>500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4"/>
      <c r="O1357" s="81"/>
    </row>
    <row r="1358" spans="1:15" hidden="1" x14ac:dyDescent="0.35">
      <c r="A1358" s="249" t="s">
        <v>2726</v>
      </c>
      <c r="B1358" s="157" t="s">
        <v>1088</v>
      </c>
      <c r="C1358" s="76">
        <v>44727</v>
      </c>
      <c r="D1358" s="235"/>
      <c r="E1358" s="250" t="s">
        <v>2591</v>
      </c>
      <c r="F1358" s="88">
        <v>500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0</v>
      </c>
      <c r="L1358" s="78"/>
      <c r="M1358" s="80"/>
      <c r="N1358" s="324"/>
      <c r="O1358" s="81"/>
    </row>
    <row r="1359" spans="1:15" hidden="1" x14ac:dyDescent="0.35">
      <c r="A1359" s="249" t="s">
        <v>2502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2502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2312</v>
      </c>
      <c r="B1361" s="9" t="s">
        <v>2240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2312</v>
      </c>
      <c r="B1362" s="9" t="s">
        <v>2240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2502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2713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4"/>
      <c r="O1380" s="251" t="s">
        <v>1074</v>
      </c>
    </row>
    <row r="1381" spans="1:15" hidden="1" x14ac:dyDescent="0.35">
      <c r="A1381" s="249" t="s">
        <v>2713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4"/>
      <c r="O1381" s="251" t="s">
        <v>1074</v>
      </c>
    </row>
    <row r="1382" spans="1:15" hidden="1" x14ac:dyDescent="0.35">
      <c r="A1382" s="249" t="s">
        <v>2398</v>
      </c>
      <c r="B1382" s="14" t="s">
        <v>2143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2336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2336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2336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2336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2398</v>
      </c>
      <c r="B1423" s="9" t="s">
        <v>2143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2398</v>
      </c>
      <c r="B1424" s="9" t="s">
        <v>2143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2398</v>
      </c>
      <c r="B1425" s="9" t="s">
        <v>2143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2713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4"/>
      <c r="O1426" s="251" t="s">
        <v>1074</v>
      </c>
    </row>
    <row r="1427" spans="1:15" hidden="1" x14ac:dyDescent="0.35">
      <c r="A1427" s="249" t="s">
        <v>2713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4"/>
      <c r="O1427" s="251" t="s">
        <v>1074</v>
      </c>
    </row>
    <row r="1428" spans="1:15" hidden="1" x14ac:dyDescent="0.35">
      <c r="A1428" s="249" t="s">
        <v>2726</v>
      </c>
      <c r="B1428" s="157" t="s">
        <v>1088</v>
      </c>
      <c r="C1428" s="76">
        <v>44727</v>
      </c>
      <c r="D1428" s="235"/>
      <c r="E1428" s="250" t="s">
        <v>1288</v>
      </c>
      <c r="F1428" s="88">
        <v>500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0</v>
      </c>
      <c r="L1428" s="78"/>
      <c r="M1428" s="80"/>
      <c r="N1428" s="324"/>
      <c r="O1428" s="81"/>
    </row>
    <row r="1429" spans="1:15" hidden="1" x14ac:dyDescent="0.35">
      <c r="A1429" s="249" t="s">
        <v>2726</v>
      </c>
      <c r="B1429" s="157" t="s">
        <v>1088</v>
      </c>
      <c r="C1429" s="76">
        <v>44727</v>
      </c>
      <c r="D1429" s="235"/>
      <c r="E1429" s="250" t="s">
        <v>2592</v>
      </c>
      <c r="F1429" s="88">
        <v>500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324"/>
      <c r="O1429" s="81"/>
    </row>
    <row r="1430" spans="1:15" hidden="1" x14ac:dyDescent="0.35">
      <c r="A1430" s="249" t="s">
        <v>2427</v>
      </c>
      <c r="B1430" s="250" t="s">
        <v>2297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2186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2186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2186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2186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2185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2313</v>
      </c>
      <c r="B1448" s="9" t="s">
        <v>2240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2313</v>
      </c>
      <c r="B1449" s="9" t="s">
        <v>2240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2313</v>
      </c>
      <c r="B1450" s="9" t="s">
        <v>2240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2313</v>
      </c>
      <c r="B1451" s="9" t="s">
        <v>2240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2259</v>
      </c>
      <c r="B1460" s="9" t="s">
        <v>2258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2283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2283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2283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2283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2429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2429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2429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2429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2317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2317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2076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2076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2076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2076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2201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2201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2201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2201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2318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2318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2318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2318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hidden="1" x14ac:dyDescent="0.35">
      <c r="A1495" s="249" t="s">
        <v>2751</v>
      </c>
      <c r="B1495" s="151" t="s">
        <v>424</v>
      </c>
      <c r="C1495" s="76">
        <v>44746</v>
      </c>
      <c r="D1495" s="264"/>
      <c r="E1495" s="250" t="s">
        <v>79</v>
      </c>
      <c r="F1495" s="77">
        <v>500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324"/>
      <c r="O1495" s="81"/>
    </row>
    <row r="1496" spans="1:15" x14ac:dyDescent="0.35">
      <c r="A1496" s="249" t="s">
        <v>2751</v>
      </c>
      <c r="B1496" s="151" t="s">
        <v>433</v>
      </c>
      <c r="C1496" s="76">
        <v>44746</v>
      </c>
      <c r="D1496" s="264"/>
      <c r="E1496" s="250" t="s">
        <v>18</v>
      </c>
      <c r="F1496" s="77">
        <v>300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324"/>
      <c r="O1496" s="81"/>
    </row>
    <row r="1497" spans="1:15" hidden="1" x14ac:dyDescent="0.35">
      <c r="A1497" s="249" t="s">
        <v>2524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2524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2357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2357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2357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2357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2125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2125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2125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2125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2387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2387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2387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2387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2524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2524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35">
      <c r="A1576" s="249" t="s">
        <v>2751</v>
      </c>
      <c r="B1576" s="151" t="s">
        <v>433</v>
      </c>
      <c r="C1576" s="76">
        <v>44746</v>
      </c>
      <c r="D1576" s="264"/>
      <c r="E1576" s="250" t="s">
        <v>1394</v>
      </c>
      <c r="F1576" s="77">
        <v>300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324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2405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2298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2298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2298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2269</v>
      </c>
      <c r="B1589" s="9" t="s">
        <v>2267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2269</v>
      </c>
      <c r="B1590" s="9" t="s">
        <v>2267</v>
      </c>
      <c r="C1590" s="76">
        <v>44621</v>
      </c>
      <c r="D1590" s="264"/>
      <c r="E1590" s="250" t="s">
        <v>2268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2269</v>
      </c>
      <c r="B1591" s="9" t="s">
        <v>2267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2275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2275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2275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2275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2077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2077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2077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2077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35">
      <c r="A1624" s="249" t="s">
        <v>2751</v>
      </c>
      <c r="B1624" s="151" t="s">
        <v>433</v>
      </c>
      <c r="C1624" s="76">
        <v>44746</v>
      </c>
      <c r="D1624" s="264"/>
      <c r="E1624" s="250" t="s">
        <v>79</v>
      </c>
      <c r="F1624" s="77">
        <v>300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324"/>
      <c r="O1624" s="81"/>
    </row>
    <row r="1625" spans="1:15" hidden="1" x14ac:dyDescent="0.35">
      <c r="A1625" s="249" t="s">
        <v>2751</v>
      </c>
      <c r="B1625" s="151" t="s">
        <v>429</v>
      </c>
      <c r="C1625" s="76">
        <v>44746</v>
      </c>
      <c r="D1625" s="267"/>
      <c r="E1625" s="250" t="s">
        <v>131</v>
      </c>
      <c r="F1625" s="184">
        <v>300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324"/>
      <c r="O1625" s="81"/>
    </row>
    <row r="1626" spans="1:15" hidden="1" x14ac:dyDescent="0.35">
      <c r="A1626" s="249" t="s">
        <v>2751</v>
      </c>
      <c r="B1626" s="151" t="s">
        <v>429</v>
      </c>
      <c r="C1626" s="76">
        <v>44746</v>
      </c>
      <c r="D1626" s="264"/>
      <c r="E1626" s="250" t="s">
        <v>18</v>
      </c>
      <c r="F1626" s="77">
        <v>300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324"/>
      <c r="O1626" s="81"/>
    </row>
    <row r="1627" spans="1:15" hidden="1" x14ac:dyDescent="0.35">
      <c r="A1627" s="249" t="s">
        <v>2751</v>
      </c>
      <c r="B1627" s="151" t="s">
        <v>429</v>
      </c>
      <c r="C1627" s="76">
        <v>44746</v>
      </c>
      <c r="D1627" s="264"/>
      <c r="E1627" s="250" t="s">
        <v>968</v>
      </c>
      <c r="F1627" s="77">
        <v>300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324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2108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2108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2108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2108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2366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2366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2366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2366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2388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2388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2388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2388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2139</v>
      </c>
      <c r="B1731" s="9" t="s">
        <v>2138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2139</v>
      </c>
      <c r="B1732" s="9" t="s">
        <v>2138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2139</v>
      </c>
      <c r="B1733" s="9" t="s">
        <v>2138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2139</v>
      </c>
      <c r="B1734" s="9" t="s">
        <v>2138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2577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2445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2445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2445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2445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2353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2372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2109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2109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2109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2109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2105</v>
      </c>
      <c r="B1779" s="9" t="s">
        <v>2104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2105</v>
      </c>
      <c r="B1780" s="9" t="s">
        <v>2104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2105</v>
      </c>
      <c r="B1781" s="9" t="s">
        <v>2104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2105</v>
      </c>
      <c r="B1782" s="9" t="s">
        <v>2104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2292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2342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2577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2555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2555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2281</v>
      </c>
      <c r="B1823" s="9" t="s">
        <v>2080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2555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2170</v>
      </c>
      <c r="B1825" s="9" t="s">
        <v>2080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2200</v>
      </c>
      <c r="B1826" s="9" t="s">
        <v>2080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2320</v>
      </c>
      <c r="B1827" s="9" t="s">
        <v>2080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2081</v>
      </c>
      <c r="B1828" s="9" t="s">
        <v>2080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2350</v>
      </c>
      <c r="B1829" s="316" t="s">
        <v>2080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2101</v>
      </c>
      <c r="B1830" s="9" t="s">
        <v>2080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2247</v>
      </c>
      <c r="B1831" s="9" t="s">
        <v>2080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2127</v>
      </c>
      <c r="B1832" s="9" t="s">
        <v>2080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2373</v>
      </c>
      <c r="B1833" s="316" t="s">
        <v>2080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2404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2404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2404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2404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2042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2042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2042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2042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2339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2339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2339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2339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2339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2339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2339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2339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2228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2228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2228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2228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2228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2363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2363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2363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2363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2041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2035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2035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2035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2035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2050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2050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2050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2050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2172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2172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2172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2172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2066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2066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2066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2066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2358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2093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2093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2093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2093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2102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2102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2102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2102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2555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2577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2577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35">
      <c r="A2109" s="249" t="s">
        <v>2751</v>
      </c>
      <c r="B2109" s="151" t="s">
        <v>429</v>
      </c>
      <c r="C2109" s="76">
        <v>44746</v>
      </c>
      <c r="D2109" s="264"/>
      <c r="E2109" s="250" t="s">
        <v>1394</v>
      </c>
      <c r="F2109" s="77">
        <v>300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324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2265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2265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2136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2136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2136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2136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2309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2158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2158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2158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2158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2277</v>
      </c>
      <c r="B2206" s="9" t="s">
        <v>2276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2216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2216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2216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2249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2249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2249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2249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2249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2374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2374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2374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2563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2563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hidden="1" x14ac:dyDescent="0.35">
      <c r="A2233" s="249" t="s">
        <v>2684</v>
      </c>
      <c r="B2233" s="157" t="s">
        <v>1208</v>
      </c>
      <c r="C2233" s="76">
        <v>44718</v>
      </c>
      <c r="D2233" s="235"/>
      <c r="E2233" s="157" t="s">
        <v>39</v>
      </c>
      <c r="F2233" s="77">
        <v>1100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7</v>
      </c>
      <c r="L2233" s="78"/>
      <c r="M2233" s="80"/>
      <c r="N2233" s="324"/>
      <c r="O2233" s="81"/>
    </row>
    <row r="2234" spans="1:15" hidden="1" x14ac:dyDescent="0.35">
      <c r="A2234" s="249" t="s">
        <v>2648</v>
      </c>
      <c r="B2234" s="250" t="s">
        <v>2656</v>
      </c>
      <c r="C2234" s="270">
        <v>44705</v>
      </c>
      <c r="D2234" s="264"/>
      <c r="E2234" s="250" t="s">
        <v>18</v>
      </c>
      <c r="F2234" s="77">
        <v>800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0</v>
      </c>
      <c r="L2234" s="78"/>
      <c r="M2234" s="80"/>
      <c r="N2234" s="282"/>
      <c r="O2234" s="81"/>
    </row>
    <row r="2235" spans="1:15" hidden="1" x14ac:dyDescent="0.35">
      <c r="A2235" s="249" t="s">
        <v>2401</v>
      </c>
      <c r="B2235" s="250" t="s">
        <v>2400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2290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2290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35">
      <c r="A2253" s="249" t="s">
        <v>2648</v>
      </c>
      <c r="B2253" s="250" t="s">
        <v>2656</v>
      </c>
      <c r="C2253" s="270">
        <v>44705</v>
      </c>
      <c r="D2253" s="264"/>
      <c r="E2253" s="250" t="s">
        <v>39</v>
      </c>
      <c r="F2253" s="77">
        <v>1000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82"/>
      <c r="O2253" s="81"/>
    </row>
    <row r="2254" spans="1:15" hidden="1" x14ac:dyDescent="0.35">
      <c r="A2254" s="249" t="s">
        <v>2432</v>
      </c>
      <c r="B2254" s="316" t="s">
        <v>2080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35">
      <c r="A2255" s="249" t="s">
        <v>2648</v>
      </c>
      <c r="B2255" s="250" t="s">
        <v>2656</v>
      </c>
      <c r="C2255" s="270">
        <v>44705</v>
      </c>
      <c r="D2255" s="264"/>
      <c r="E2255" s="250" t="s">
        <v>28</v>
      </c>
      <c r="F2255" s="77">
        <v>1200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1</v>
      </c>
      <c r="L2255" s="78"/>
      <c r="M2255" s="80"/>
      <c r="N2255" s="282"/>
      <c r="O2255" s="81"/>
    </row>
    <row r="2256" spans="1:15" hidden="1" x14ac:dyDescent="0.35">
      <c r="A2256" s="249" t="s">
        <v>2264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2188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2188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2188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2188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2188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2068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2351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2351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2257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2264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2264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2203</v>
      </c>
      <c r="B2318" s="9" t="s">
        <v>2202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2203</v>
      </c>
      <c r="B2319" s="9" t="s">
        <v>2202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2203</v>
      </c>
      <c r="B2320" s="9" t="s">
        <v>2202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2203</v>
      </c>
      <c r="B2321" s="9" t="s">
        <v>2202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2052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2052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2052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2052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2168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2168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2168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2168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2310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2368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2100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2100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2130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2130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2295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2393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2131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2131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2131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2131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2051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2264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2444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2444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2444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2167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2167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2199</v>
      </c>
      <c r="B2439" s="9" t="s">
        <v>2116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2199</v>
      </c>
      <c r="B2440" s="9" t="s">
        <v>2116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2199</v>
      </c>
      <c r="B2441" s="9" t="s">
        <v>2116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2444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2115</v>
      </c>
      <c r="B2443" s="9" t="s">
        <v>2116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2115</v>
      </c>
      <c r="B2444" s="9" t="s">
        <v>2116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2115</v>
      </c>
      <c r="B2445" s="9" t="s">
        <v>2116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2115</v>
      </c>
      <c r="B2446" s="9" t="s">
        <v>2116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2551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2399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2399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2421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2421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2421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2094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2094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2094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2094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2191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2191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2191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2197</v>
      </c>
      <c r="B2482" s="9" t="s">
        <v>2196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2197</v>
      </c>
      <c r="B2483" s="9" t="s">
        <v>2196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2197</v>
      </c>
      <c r="B2484" s="9" t="s">
        <v>2196</v>
      </c>
      <c r="C2484" s="89">
        <v>44569</v>
      </c>
      <c r="D2484" s="235"/>
      <c r="E2484" s="250" t="s">
        <v>2053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2197</v>
      </c>
      <c r="B2485" s="9" t="s">
        <v>2196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2197</v>
      </c>
      <c r="B2486" s="9" t="s">
        <v>2196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2132</v>
      </c>
      <c r="B2487" s="9" t="s">
        <v>2085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2132</v>
      </c>
      <c r="B2488" s="9" t="s">
        <v>2085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2132</v>
      </c>
      <c r="B2489" s="9" t="s">
        <v>2085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2132</v>
      </c>
      <c r="B2490" s="9" t="s">
        <v>2085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2132</v>
      </c>
      <c r="B2491" s="9" t="s">
        <v>2085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2146</v>
      </c>
      <c r="B2492" s="9" t="s">
        <v>2085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2146</v>
      </c>
      <c r="B2493" s="9" t="s">
        <v>2085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2146</v>
      </c>
      <c r="B2494" s="9" t="s">
        <v>2085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2146</v>
      </c>
      <c r="B2495" s="9" t="s">
        <v>2085</v>
      </c>
      <c r="C2495" s="76">
        <v>44558</v>
      </c>
      <c r="D2495" s="235"/>
      <c r="E2495" s="250" t="s">
        <v>2053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2146</v>
      </c>
      <c r="B2496" s="9" t="s">
        <v>2085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2198</v>
      </c>
      <c r="B2497" s="9" t="s">
        <v>2205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2198</v>
      </c>
      <c r="B2498" s="9" t="s">
        <v>2205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2198</v>
      </c>
      <c r="B2499" s="9" t="s">
        <v>2205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2198</v>
      </c>
      <c r="B2500" s="9" t="s">
        <v>2205</v>
      </c>
      <c r="C2500" s="89">
        <v>44569</v>
      </c>
      <c r="D2500" s="235"/>
      <c r="E2500" s="250" t="s">
        <v>2053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2198</v>
      </c>
      <c r="B2501" s="9" t="s">
        <v>2205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2279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2279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2279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2279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2097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2097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2097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2097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2305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2305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2305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2305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2399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2399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2551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2441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2218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2218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2218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2218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2551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2551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2554</v>
      </c>
      <c r="B2540" s="9" t="s">
        <v>2553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2554</v>
      </c>
      <c r="B2541" s="9" t="s">
        <v>2553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2084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2214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2043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2043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2043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2043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2087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2282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2282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2282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2282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2420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2420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2420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2420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2302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2302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2302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2302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2485</v>
      </c>
      <c r="B2638" s="316" t="s">
        <v>2080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2554</v>
      </c>
      <c r="B2639" s="9" t="s">
        <v>2553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2554</v>
      </c>
      <c r="B2640" s="9" t="s">
        <v>2553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2565</v>
      </c>
      <c r="B2641" s="9" t="s">
        <v>2564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2338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2338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2338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2338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2088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2088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2088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2088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2110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2110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2110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2110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2359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2359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2359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2359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2371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2371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2371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2371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2260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2260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2260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2260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2145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2145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2145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2145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2386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2386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2386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2386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2164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2164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2164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2164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2044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2044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2044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2044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2447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2447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2565</v>
      </c>
      <c r="B2819" s="9" t="s">
        <v>2564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2505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2505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2500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2038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2038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2038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2038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2286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2286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2286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2286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2500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2422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2422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2422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2212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2212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2212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2212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2121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2121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2121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2121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2209</v>
      </c>
      <c r="B2895" s="9" t="s">
        <v>2208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2209</v>
      </c>
      <c r="B2896" s="9" t="s">
        <v>2208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2209</v>
      </c>
      <c r="B2897" s="9" t="s">
        <v>2208</v>
      </c>
      <c r="C2897" s="89">
        <v>44573</v>
      </c>
      <c r="D2897" s="235"/>
      <c r="E2897" s="250" t="s">
        <v>2053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2364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2364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2364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2364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2209</v>
      </c>
      <c r="B2904" s="9" t="s">
        <v>2208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2209</v>
      </c>
      <c r="B2905" s="9" t="s">
        <v>2208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2385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2385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2385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2385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2161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2161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2161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2161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2384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2229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2229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2248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2248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2500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2500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2159</v>
      </c>
      <c r="B2939" s="250" t="s">
        <v>2133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2159</v>
      </c>
      <c r="B2940" s="250" t="s">
        <v>2133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2159</v>
      </c>
      <c r="B2941" s="250" t="s">
        <v>2133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2159</v>
      </c>
      <c r="B2942" s="250" t="s">
        <v>2133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2160</v>
      </c>
      <c r="B2943" s="250" t="s">
        <v>2133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2160</v>
      </c>
      <c r="B2944" s="250" t="s">
        <v>2133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2160</v>
      </c>
      <c r="B2945" s="250" t="s">
        <v>2133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2160</v>
      </c>
      <c r="B2946" s="250" t="s">
        <v>2133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2160</v>
      </c>
      <c r="B2947" s="250" t="s">
        <v>2133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2160</v>
      </c>
      <c r="B2948" s="250" t="s">
        <v>2133</v>
      </c>
      <c r="C2948" s="89">
        <v>44560</v>
      </c>
      <c r="D2948" s="235"/>
      <c r="E2948" s="250" t="s">
        <v>2117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2160</v>
      </c>
      <c r="B2949" s="250" t="s">
        <v>2133</v>
      </c>
      <c r="C2949" s="89">
        <v>44560</v>
      </c>
      <c r="D2949" s="235"/>
      <c r="E2949" s="250" t="s">
        <v>2118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2160</v>
      </c>
      <c r="B2950" s="250" t="s">
        <v>2133</v>
      </c>
      <c r="C2950" s="89">
        <v>44560</v>
      </c>
      <c r="D2950" s="235"/>
      <c r="E2950" s="250" t="s">
        <v>2124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2160</v>
      </c>
      <c r="B2951" s="250" t="s">
        <v>2133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2308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2308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2308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2308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2354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2354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2354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2446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2204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2204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2126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2126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2126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2173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2173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2157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2157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2446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2446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2082</v>
      </c>
      <c r="B3056" s="9" t="s">
        <v>2083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2291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2446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2354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2565</v>
      </c>
      <c r="B3117" s="9" t="s">
        <v>2564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2187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2187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2187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2187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2187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2067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2067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2067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2067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2067</v>
      </c>
      <c r="B3134" s="316" t="s">
        <v>2099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2067</v>
      </c>
      <c r="B3135" s="316" t="s">
        <v>2099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2067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2352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2565</v>
      </c>
      <c r="B3213" s="9" t="s">
        <v>2564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35">
      <c r="A3214" s="249" t="s">
        <v>2648</v>
      </c>
      <c r="B3214" s="250" t="s">
        <v>2655</v>
      </c>
      <c r="C3214" s="270">
        <v>44705</v>
      </c>
      <c r="D3214" s="264"/>
      <c r="E3214" s="250" t="s">
        <v>18</v>
      </c>
      <c r="F3214" s="77">
        <v>1200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5</v>
      </c>
      <c r="L3214" s="78"/>
      <c r="M3214" s="80"/>
      <c r="N3214" s="282"/>
      <c r="O3214" s="81"/>
    </row>
    <row r="3215" spans="1:15" hidden="1" x14ac:dyDescent="0.35">
      <c r="A3215" s="249" t="s">
        <v>2648</v>
      </c>
      <c r="B3215" s="250" t="s">
        <v>2655</v>
      </c>
      <c r="C3215" s="270">
        <v>44705</v>
      </c>
      <c r="D3215" s="264"/>
      <c r="E3215" s="250" t="s">
        <v>39</v>
      </c>
      <c r="F3215" s="77">
        <v>1800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82"/>
      <c r="O3215" s="81"/>
    </row>
    <row r="3216" spans="1:15" hidden="1" x14ac:dyDescent="0.35">
      <c r="A3216" s="249" t="s">
        <v>2562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2189</v>
      </c>
      <c r="B3221" s="189" t="s">
        <v>2092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2189</v>
      </c>
      <c r="B3222" s="189" t="s">
        <v>2092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2189</v>
      </c>
      <c r="B3223" s="189" t="s">
        <v>2092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2189</v>
      </c>
      <c r="B3224" s="189" t="s">
        <v>2092</v>
      </c>
      <c r="C3224" s="76">
        <v>44564</v>
      </c>
      <c r="D3224" s="235"/>
      <c r="E3224" s="250" t="s">
        <v>2117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2190</v>
      </c>
      <c r="B3225" s="189" t="s">
        <v>2092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2190</v>
      </c>
      <c r="B3226" s="189" t="s">
        <v>2092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2190</v>
      </c>
      <c r="B3227" s="189" t="s">
        <v>2092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2190</v>
      </c>
      <c r="B3228" s="189" t="s">
        <v>2092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2190</v>
      </c>
      <c r="B3229" s="189" t="s">
        <v>2092</v>
      </c>
      <c r="C3229" s="76">
        <v>44569</v>
      </c>
      <c r="D3229" s="235"/>
      <c r="E3229" s="250" t="s">
        <v>2117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2190</v>
      </c>
      <c r="B3230" s="189" t="s">
        <v>2092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2190</v>
      </c>
      <c r="B3231" s="189" t="s">
        <v>2092</v>
      </c>
      <c r="C3231" s="76">
        <v>44569</v>
      </c>
      <c r="D3231" s="235"/>
      <c r="E3231" s="250" t="s">
        <v>2124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2190</v>
      </c>
      <c r="B3232" s="189" t="s">
        <v>2092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2190</v>
      </c>
      <c r="B3233" s="189" t="s">
        <v>2092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2119</v>
      </c>
      <c r="B3234" s="189" t="s">
        <v>2092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2119</v>
      </c>
      <c r="B3235" s="189" t="s">
        <v>2092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2119</v>
      </c>
      <c r="B3236" s="189" t="s">
        <v>2092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2119</v>
      </c>
      <c r="B3237" s="189" t="s">
        <v>2092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2119</v>
      </c>
      <c r="B3238" s="189" t="s">
        <v>2092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2119</v>
      </c>
      <c r="B3239" s="189" t="s">
        <v>2092</v>
      </c>
      <c r="C3239" s="89">
        <v>44543</v>
      </c>
      <c r="D3239" s="235"/>
      <c r="E3239" s="250" t="s">
        <v>2117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2119</v>
      </c>
      <c r="B3240" s="189" t="s">
        <v>2092</v>
      </c>
      <c r="C3240" s="89">
        <v>44543</v>
      </c>
      <c r="D3240" s="235"/>
      <c r="E3240" s="250" t="s">
        <v>2118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2119</v>
      </c>
      <c r="B3241" s="189" t="s">
        <v>2092</v>
      </c>
      <c r="C3241" s="89">
        <v>44543</v>
      </c>
      <c r="D3241" s="235"/>
      <c r="E3241" s="250" t="s">
        <v>2124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2119</v>
      </c>
      <c r="B3242" s="189" t="s">
        <v>2092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2562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2215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2215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2215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2245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2039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2047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2056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2086</v>
      </c>
      <c r="B3333" s="9" t="s">
        <v>2065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2086</v>
      </c>
      <c r="B3334" s="9" t="s">
        <v>2065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2086</v>
      </c>
      <c r="B3335" s="9" t="s">
        <v>2065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2086</v>
      </c>
      <c r="B3336" s="9" t="s">
        <v>2065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2301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2301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2301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2301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2562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2562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hidden="1" x14ac:dyDescent="0.35">
      <c r="A3343" s="249" t="s">
        <v>2648</v>
      </c>
      <c r="B3343" s="250" t="s">
        <v>2655</v>
      </c>
      <c r="C3343" s="270">
        <v>44705</v>
      </c>
      <c r="D3343" s="264"/>
      <c r="E3343" s="250" t="s">
        <v>28</v>
      </c>
      <c r="F3343" s="77">
        <f>5000-F3335-F3336</f>
        <v>3800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11</v>
      </c>
      <c r="L3343" s="78"/>
      <c r="M3343" s="80"/>
      <c r="N3343" s="282"/>
      <c r="O3343" s="81"/>
    </row>
    <row r="3344" spans="1:15" hidden="1" x14ac:dyDescent="0.35">
      <c r="A3344" s="249" t="s">
        <v>2701</v>
      </c>
      <c r="B3344" s="9" t="s">
        <v>2700</v>
      </c>
      <c r="C3344" s="76">
        <v>44722</v>
      </c>
      <c r="D3344" s="264"/>
      <c r="E3344" s="86" t="s">
        <v>18</v>
      </c>
      <c r="F3344" s="77">
        <v>200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324"/>
      <c r="O3344" s="81"/>
    </row>
    <row r="3345" spans="1:15" hidden="1" x14ac:dyDescent="0.35">
      <c r="A3345" s="249" t="s">
        <v>2509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2509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2225</v>
      </c>
      <c r="B3347" s="9" t="s">
        <v>2226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2225</v>
      </c>
      <c r="B3348" s="9" t="s">
        <v>2226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2225</v>
      </c>
      <c r="B3349" s="9" t="s">
        <v>2226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2225</v>
      </c>
      <c r="B3350" s="316" t="s">
        <v>2226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2163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2163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2163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2163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2163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2163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2509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2430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2430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2430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2430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2509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2514</v>
      </c>
      <c r="B3388" s="9" t="s">
        <v>2240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2514</v>
      </c>
      <c r="B3389" s="9" t="s">
        <v>2240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2514</v>
      </c>
      <c r="B3390" s="9" t="s">
        <v>2240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2514</v>
      </c>
      <c r="B3391" s="9" t="s">
        <v>2240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2306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2306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2306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2306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2306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2306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2306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2306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2306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2306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2306</v>
      </c>
      <c r="B3402" s="9" t="s">
        <v>2224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2306</v>
      </c>
      <c r="B3403" s="316" t="s">
        <v>2224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2306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2306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2223</v>
      </c>
      <c r="B3406" s="9" t="s">
        <v>2224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2223</v>
      </c>
      <c r="B3407" s="9" t="s">
        <v>2224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2223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2223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35">
      <c r="A3410" s="249" t="s">
        <v>2701</v>
      </c>
      <c r="B3410" s="9" t="s">
        <v>2700</v>
      </c>
      <c r="C3410" s="76">
        <v>44722</v>
      </c>
      <c r="D3410" s="264"/>
      <c r="E3410" s="261" t="s">
        <v>28</v>
      </c>
      <c r="F3410" s="77">
        <v>200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324"/>
      <c r="O3410" s="81"/>
    </row>
    <row r="3411" spans="1:15" hidden="1" x14ac:dyDescent="0.35">
      <c r="A3411" s="249" t="s">
        <v>2484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2484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2484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35">
      <c r="A3414" s="249" t="s">
        <v>2659</v>
      </c>
      <c r="B3414" s="150" t="s">
        <v>2658</v>
      </c>
      <c r="C3414" s="76">
        <v>44707</v>
      </c>
      <c r="D3414" s="264"/>
      <c r="E3414" s="250" t="s">
        <v>18</v>
      </c>
      <c r="F3414" s="77">
        <v>500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82"/>
      <c r="O3414" s="81"/>
    </row>
    <row r="3415" spans="1:15" hidden="1" x14ac:dyDescent="0.35">
      <c r="A3415" s="249" t="s">
        <v>2289</v>
      </c>
      <c r="B3415" s="150" t="s">
        <v>2246</v>
      </c>
      <c r="C3415" s="76">
        <v>44623</v>
      </c>
      <c r="D3415" s="264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2219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2219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2219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2219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2219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2219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2219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2219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2219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2219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2074</v>
      </c>
      <c r="B3465" s="9" t="s">
        <v>2069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2074</v>
      </c>
      <c r="B3466" s="9" t="s">
        <v>2069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2074</v>
      </c>
      <c r="B3467" s="316" t="s">
        <v>2069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2074</v>
      </c>
      <c r="B3468" s="316" t="s">
        <v>2069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2074</v>
      </c>
      <c r="B3469" s="9" t="s">
        <v>2069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2074</v>
      </c>
      <c r="B3470" s="9" t="s">
        <v>2070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2074</v>
      </c>
      <c r="B3471" s="9" t="s">
        <v>2070</v>
      </c>
      <c r="C3471" s="76">
        <v>44538</v>
      </c>
      <c r="D3471" s="235"/>
      <c r="E3471" s="250" t="s">
        <v>2072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2074</v>
      </c>
      <c r="B3472" s="9" t="s">
        <v>2070</v>
      </c>
      <c r="C3472" s="76">
        <v>44538</v>
      </c>
      <c r="D3472" s="235"/>
      <c r="E3472" s="250" t="s">
        <v>2071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2074</v>
      </c>
      <c r="B3473" s="9" t="s">
        <v>2070</v>
      </c>
      <c r="C3473" s="76">
        <v>44538</v>
      </c>
      <c r="D3473" s="235"/>
      <c r="E3473" s="250" t="s">
        <v>2073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35">
      <c r="A3474" s="249" t="s">
        <v>2289</v>
      </c>
      <c r="B3474" s="9" t="s">
        <v>2246</v>
      </c>
      <c r="C3474" s="76">
        <v>44623</v>
      </c>
      <c r="D3474" s="264"/>
      <c r="E3474" s="250" t="s">
        <v>25</v>
      </c>
      <c r="F3474" s="77">
        <v>360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65"/>
      <c r="O3474" s="81"/>
    </row>
    <row r="3475" spans="1:15" hidden="1" x14ac:dyDescent="0.35">
      <c r="A3475" s="249" t="s">
        <v>2289</v>
      </c>
      <c r="B3475" s="9" t="s">
        <v>2246</v>
      </c>
      <c r="C3475" s="76">
        <v>44623</v>
      </c>
      <c r="D3475" s="264"/>
      <c r="E3475" s="250" t="s">
        <v>18</v>
      </c>
      <c r="F3475" s="77">
        <v>360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65"/>
      <c r="O3475" s="81"/>
    </row>
    <row r="3476" spans="1:15" hidden="1" x14ac:dyDescent="0.35">
      <c r="A3476" s="249" t="s">
        <v>2644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2483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2483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2483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2483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2423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2448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2448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2424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2448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2448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2503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2503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2503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2541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2255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2255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2644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2644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2644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hidden="1" x14ac:dyDescent="0.35">
      <c r="A3523" s="249" t="s">
        <v>2289</v>
      </c>
      <c r="B3523" s="150" t="s">
        <v>2246</v>
      </c>
      <c r="C3523" s="76">
        <v>44623</v>
      </c>
      <c r="D3523" s="264"/>
      <c r="E3523" s="250" t="s">
        <v>28</v>
      </c>
      <c r="F3523" s="77">
        <v>240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65"/>
      <c r="O3523" s="81"/>
    </row>
    <row r="3524" spans="1:15" hidden="1" x14ac:dyDescent="0.35">
      <c r="A3524" s="249" t="s">
        <v>2289</v>
      </c>
      <c r="B3524" s="150" t="s">
        <v>1291</v>
      </c>
      <c r="C3524" s="76">
        <v>44623</v>
      </c>
      <c r="D3524" s="264"/>
      <c r="E3524" s="250" t="s">
        <v>39</v>
      </c>
      <c r="F3524" s="77">
        <v>240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hidden="1" x14ac:dyDescent="0.35">
      <c r="A3525" s="249" t="s">
        <v>2289</v>
      </c>
      <c r="B3525" s="150" t="s">
        <v>1291</v>
      </c>
      <c r="C3525" s="76">
        <v>44623</v>
      </c>
      <c r="D3525" s="264"/>
      <c r="E3525" s="250" t="s">
        <v>25</v>
      </c>
      <c r="F3525" s="77">
        <v>360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35">
      <c r="A3526" s="249" t="s">
        <v>2525</v>
      </c>
      <c r="B3526" s="316" t="s">
        <v>2080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2533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2486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2486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2486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2486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2533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2533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2192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2192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2192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2192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2192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2192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2192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2192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2192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2192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2192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2192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2192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2192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2192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2192</v>
      </c>
      <c r="B3549" s="9" t="s">
        <v>2156</v>
      </c>
      <c r="C3549" s="76">
        <v>44560</v>
      </c>
      <c r="D3549" s="180"/>
      <c r="E3549" s="261" t="s">
        <v>2147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2192</v>
      </c>
      <c r="B3550" s="9" t="s">
        <v>2156</v>
      </c>
      <c r="C3550" s="76">
        <v>44560</v>
      </c>
      <c r="D3550" s="180"/>
      <c r="E3550" s="261" t="s">
        <v>2148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2192</v>
      </c>
      <c r="B3551" s="9" t="s">
        <v>2156</v>
      </c>
      <c r="C3551" s="76">
        <v>44560</v>
      </c>
      <c r="D3551" s="180"/>
      <c r="E3551" s="261" t="s">
        <v>2149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2192</v>
      </c>
      <c r="B3552" s="9" t="s">
        <v>2156</v>
      </c>
      <c r="C3552" s="76">
        <v>44560</v>
      </c>
      <c r="D3552" s="180"/>
      <c r="E3552" s="261" t="s">
        <v>2193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2192</v>
      </c>
      <c r="B3553" s="9" t="s">
        <v>2156</v>
      </c>
      <c r="C3553" s="76">
        <v>44560</v>
      </c>
      <c r="D3553" s="180"/>
      <c r="E3553" s="261" t="s">
        <v>2150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2192</v>
      </c>
      <c r="B3554" s="261" t="s">
        <v>2151</v>
      </c>
      <c r="C3554" s="76">
        <v>44560</v>
      </c>
      <c r="D3554" s="275"/>
      <c r="E3554" s="261" t="s">
        <v>2152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2192</v>
      </c>
      <c r="B3555" s="261" t="s">
        <v>2151</v>
      </c>
      <c r="C3555" s="76">
        <v>44560</v>
      </c>
      <c r="D3555" s="275"/>
      <c r="E3555" s="261" t="s">
        <v>2153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2192</v>
      </c>
      <c r="B3556" s="261" t="s">
        <v>2151</v>
      </c>
      <c r="C3556" s="76">
        <v>44560</v>
      </c>
      <c r="D3556" s="275"/>
      <c r="E3556" s="261" t="s">
        <v>2154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2192</v>
      </c>
      <c r="B3557" s="261" t="s">
        <v>2151</v>
      </c>
      <c r="C3557" s="76">
        <v>44560</v>
      </c>
      <c r="D3557" s="275"/>
      <c r="E3557" s="261" t="s">
        <v>2155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2192</v>
      </c>
      <c r="B3558" s="261" t="s">
        <v>2151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2192</v>
      </c>
      <c r="B3559" s="261" t="s">
        <v>2151</v>
      </c>
      <c r="C3559" s="76">
        <v>44560</v>
      </c>
      <c r="D3559" s="275"/>
      <c r="E3559" s="261" t="s">
        <v>2166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2533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2546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2546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2546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2451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2451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2546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hidden="1" x14ac:dyDescent="0.35">
      <c r="A3567" s="249" t="s">
        <v>2289</v>
      </c>
      <c r="B3567" s="9" t="s">
        <v>1291</v>
      </c>
      <c r="C3567" s="76">
        <v>44623</v>
      </c>
      <c r="D3567" s="264"/>
      <c r="E3567" s="250" t="s">
        <v>18</v>
      </c>
      <c r="F3567" s="77">
        <v>360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282"/>
      <c r="O3567" s="81"/>
    </row>
    <row r="3568" spans="1:15" hidden="1" x14ac:dyDescent="0.35">
      <c r="A3568" s="249" t="s">
        <v>2289</v>
      </c>
      <c r="B3568" s="9" t="s">
        <v>1291</v>
      </c>
      <c r="C3568" s="76">
        <v>44623</v>
      </c>
      <c r="D3568" s="264"/>
      <c r="E3568" s="250" t="s">
        <v>28</v>
      </c>
      <c r="F3568" s="77">
        <v>240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282"/>
      <c r="O3568" s="81"/>
    </row>
    <row r="3569" spans="1:15" hidden="1" x14ac:dyDescent="0.35">
      <c r="A3569" s="249" t="s">
        <v>2665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2494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2494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2494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2494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35">
      <c r="A3574" s="249" t="s">
        <v>2237</v>
      </c>
      <c r="B3574" s="250" t="s">
        <v>2238</v>
      </c>
      <c r="C3574" s="76">
        <v>44603</v>
      </c>
      <c r="D3574" s="264"/>
      <c r="E3574" s="250" t="s">
        <v>28</v>
      </c>
      <c r="F3574" s="77">
        <v>360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265"/>
      <c r="O3574" s="81"/>
    </row>
    <row r="3575" spans="1:15" hidden="1" x14ac:dyDescent="0.35">
      <c r="A3575" s="249" t="s">
        <v>2236</v>
      </c>
      <c r="B3575" s="250" t="s">
        <v>2239</v>
      </c>
      <c r="C3575" s="76">
        <v>44603</v>
      </c>
      <c r="D3575" s="264"/>
      <c r="E3575" s="263" t="s">
        <v>28</v>
      </c>
      <c r="F3575" s="77">
        <v>600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265"/>
      <c r="O3575" s="81"/>
    </row>
    <row r="3576" spans="1:15" hidden="1" x14ac:dyDescent="0.35">
      <c r="A3576" s="249" t="s">
        <v>2236</v>
      </c>
      <c r="B3576" s="250" t="s">
        <v>2239</v>
      </c>
      <c r="C3576" s="76">
        <v>44603</v>
      </c>
      <c r="D3576" s="264"/>
      <c r="E3576" s="250" t="s">
        <v>25</v>
      </c>
      <c r="F3576" s="77">
        <v>120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0</v>
      </c>
      <c r="L3576" s="78"/>
      <c r="M3576" s="80"/>
      <c r="N3576" s="265"/>
      <c r="O3576" s="81"/>
    </row>
    <row r="3577" spans="1:15" hidden="1" x14ac:dyDescent="0.35">
      <c r="A3577" s="249" t="s">
        <v>2236</v>
      </c>
      <c r="B3577" s="313" t="s">
        <v>2239</v>
      </c>
      <c r="C3577" s="76">
        <v>44603</v>
      </c>
      <c r="D3577" s="264"/>
      <c r="E3577" s="250" t="s">
        <v>18</v>
      </c>
      <c r="F3577" s="77">
        <v>360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65"/>
      <c r="O3577" s="81"/>
    </row>
    <row r="3578" spans="1:15" hidden="1" x14ac:dyDescent="0.35">
      <c r="A3578" s="249" t="s">
        <v>2680</v>
      </c>
      <c r="B3578" s="322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4"/>
      <c r="O3578" s="251" t="s">
        <v>1074</v>
      </c>
    </row>
    <row r="3579" spans="1:15" hidden="1" x14ac:dyDescent="0.35">
      <c r="A3579" s="249" t="s">
        <v>2423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2680</v>
      </c>
      <c r="B3580" s="322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4"/>
      <c r="O3580" s="251" t="s">
        <v>1074</v>
      </c>
    </row>
    <row r="3581" spans="1:15" hidden="1" x14ac:dyDescent="0.35">
      <c r="A3581" s="249" t="s">
        <v>2680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4"/>
      <c r="O3581" s="251" t="s">
        <v>1074</v>
      </c>
    </row>
    <row r="3582" spans="1:15" hidden="1" x14ac:dyDescent="0.35">
      <c r="A3582" s="249" t="s">
        <v>2424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2424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2680</v>
      </c>
      <c r="B3584" s="322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4"/>
      <c r="O3584" s="251" t="s">
        <v>1074</v>
      </c>
    </row>
    <row r="3585" spans="1:15" hidden="1" x14ac:dyDescent="0.35">
      <c r="A3585" s="249" t="s">
        <v>2689</v>
      </c>
      <c r="B3585" s="320" t="s">
        <v>1442</v>
      </c>
      <c r="C3585" s="76">
        <v>44721</v>
      </c>
      <c r="D3585" s="180"/>
      <c r="E3585" s="86" t="s">
        <v>39</v>
      </c>
      <c r="F3585" s="88">
        <v>240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0</v>
      </c>
      <c r="L3585" s="78"/>
      <c r="M3585" s="80"/>
      <c r="N3585" s="324"/>
      <c r="O3585" s="251" t="s">
        <v>1074</v>
      </c>
    </row>
    <row r="3586" spans="1:15" hidden="1" x14ac:dyDescent="0.35">
      <c r="A3586" s="249" t="s">
        <v>2689</v>
      </c>
      <c r="B3586" s="320" t="s">
        <v>1442</v>
      </c>
      <c r="C3586" s="76">
        <v>44721</v>
      </c>
      <c r="D3586" s="180"/>
      <c r="E3586" s="86" t="s">
        <v>28</v>
      </c>
      <c r="F3586" s="88">
        <v>240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5</v>
      </c>
      <c r="L3586" s="78"/>
      <c r="M3586" s="80"/>
      <c r="N3586" s="324"/>
      <c r="O3586" s="251" t="s">
        <v>1074</v>
      </c>
    </row>
    <row r="3587" spans="1:15" hidden="1" x14ac:dyDescent="0.35">
      <c r="A3587" s="249" t="s">
        <v>2689</v>
      </c>
      <c r="B3587" s="320" t="s">
        <v>1442</v>
      </c>
      <c r="C3587" s="76">
        <v>44721</v>
      </c>
      <c r="D3587" s="180"/>
      <c r="E3587" s="161" t="s">
        <v>25</v>
      </c>
      <c r="F3587" s="88">
        <v>360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324"/>
      <c r="O3587" s="251" t="s">
        <v>1074</v>
      </c>
    </row>
    <row r="3588" spans="1:15" hidden="1" x14ac:dyDescent="0.35">
      <c r="A3588" s="249" t="s">
        <v>2617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2617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2611</v>
      </c>
      <c r="B3590" s="250" t="s">
        <v>2610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35">
      <c r="A3591" s="249" t="s">
        <v>2689</v>
      </c>
      <c r="B3591" s="157" t="s">
        <v>1442</v>
      </c>
      <c r="C3591" s="76">
        <v>44721</v>
      </c>
      <c r="D3591" s="180"/>
      <c r="E3591" s="161" t="s">
        <v>18</v>
      </c>
      <c r="F3591" s="88">
        <v>360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1</v>
      </c>
      <c r="L3591" s="78"/>
      <c r="M3591" s="80"/>
      <c r="N3591" s="324"/>
      <c r="O3591" s="251" t="s">
        <v>1074</v>
      </c>
    </row>
    <row r="3592" spans="1:15" hidden="1" x14ac:dyDescent="0.35">
      <c r="A3592" s="249" t="s">
        <v>2756</v>
      </c>
      <c r="B3592" s="151" t="s">
        <v>1691</v>
      </c>
      <c r="C3592" s="76">
        <v>44749</v>
      </c>
      <c r="D3592" s="180"/>
      <c r="E3592" s="86" t="s">
        <v>28</v>
      </c>
      <c r="F3592" s="88">
        <v>240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324"/>
      <c r="O3592" s="81"/>
    </row>
    <row r="3593" spans="1:15" hidden="1" x14ac:dyDescent="0.35">
      <c r="A3593" s="249" t="s">
        <v>2756</v>
      </c>
      <c r="B3593" s="326" t="s">
        <v>1691</v>
      </c>
      <c r="C3593" s="76">
        <v>44749</v>
      </c>
      <c r="D3593" s="180"/>
      <c r="E3593" s="86" t="s">
        <v>39</v>
      </c>
      <c r="F3593" s="88">
        <v>240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324"/>
      <c r="O3593" s="81"/>
    </row>
    <row r="3594" spans="1:15" x14ac:dyDescent="0.35">
      <c r="A3594" s="249" t="s">
        <v>2756</v>
      </c>
      <c r="B3594" s="326" t="s">
        <v>1691</v>
      </c>
      <c r="C3594" s="76">
        <v>44749</v>
      </c>
      <c r="D3594" s="180"/>
      <c r="E3594" s="86" t="s">
        <v>18</v>
      </c>
      <c r="F3594" s="88">
        <v>360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324"/>
      <c r="O3594" s="81"/>
    </row>
    <row r="3595" spans="1:15" hidden="1" x14ac:dyDescent="0.35">
      <c r="A3595" s="249" t="s">
        <v>2516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2516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2516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2516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2510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2510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2510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35">
      <c r="A3602" s="249" t="s">
        <v>2756</v>
      </c>
      <c r="B3602" s="322" t="s">
        <v>1691</v>
      </c>
      <c r="C3602" s="76">
        <v>44749</v>
      </c>
      <c r="D3602" s="180"/>
      <c r="E3602" s="86" t="s">
        <v>25</v>
      </c>
      <c r="F3602" s="88">
        <v>360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324"/>
      <c r="O3602" s="81"/>
    </row>
    <row r="3603" spans="1:15" hidden="1" x14ac:dyDescent="0.35">
      <c r="A3603" s="249" t="s">
        <v>2244</v>
      </c>
      <c r="B3603" s="150" t="s">
        <v>1159</v>
      </c>
      <c r="C3603" s="76">
        <v>44613</v>
      </c>
      <c r="D3603" s="264"/>
      <c r="E3603" s="250" t="s">
        <v>28</v>
      </c>
      <c r="F3603" s="77">
        <v>60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265"/>
      <c r="O3603" s="81"/>
    </row>
    <row r="3604" spans="1:15" hidden="1" x14ac:dyDescent="0.35">
      <c r="A3604" s="249" t="s">
        <v>2583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2583</v>
      </c>
      <c r="B3605" s="322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2561</v>
      </c>
      <c r="B3606" s="316" t="s">
        <v>2080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2583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2583</v>
      </c>
      <c r="B3608" s="322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2487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2487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35">
      <c r="A3611" s="249" t="s">
        <v>2244</v>
      </c>
      <c r="B3611" s="150" t="s">
        <v>1159</v>
      </c>
      <c r="C3611" s="76">
        <v>44613</v>
      </c>
      <c r="D3611" s="264"/>
      <c r="E3611" s="250" t="s">
        <v>39</v>
      </c>
      <c r="F3611" s="77">
        <v>60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265"/>
      <c r="O3611" s="81"/>
    </row>
    <row r="3612" spans="1:15" hidden="1" x14ac:dyDescent="0.35">
      <c r="A3612" s="249" t="s">
        <v>2244</v>
      </c>
      <c r="B3612" s="150" t="s">
        <v>1159</v>
      </c>
      <c r="C3612" s="76">
        <v>44613</v>
      </c>
      <c r="D3612" s="264"/>
      <c r="E3612" s="250" t="s">
        <v>18</v>
      </c>
      <c r="F3612" s="77">
        <v>60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265"/>
      <c r="O3612" s="81"/>
    </row>
    <row r="3613" spans="1:15" hidden="1" x14ac:dyDescent="0.35">
      <c r="A3613" s="249" t="s">
        <v>2492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2493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2493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2645</v>
      </c>
      <c r="B3616" s="316" t="s">
        <v>2625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2645</v>
      </c>
      <c r="B3617" s="316" t="s">
        <v>2625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2520</v>
      </c>
      <c r="B3618" s="9" t="s">
        <v>2519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2527</v>
      </c>
      <c r="B3619" s="150" t="s">
        <v>2143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2527</v>
      </c>
      <c r="B3620" s="150" t="s">
        <v>2143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2527</v>
      </c>
      <c r="B3621" s="150" t="s">
        <v>2143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2527</v>
      </c>
      <c r="B3622" s="150" t="s">
        <v>2143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2645</v>
      </c>
      <c r="B3623" s="322" t="s">
        <v>2625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2645</v>
      </c>
      <c r="B3624" s="316" t="s">
        <v>2625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35">
      <c r="A3625" s="249" t="s">
        <v>2356</v>
      </c>
      <c r="B3625" s="261" t="s">
        <v>2029</v>
      </c>
      <c r="C3625" s="76">
        <v>44636</v>
      </c>
      <c r="D3625" s="180"/>
      <c r="E3625" s="86" t="s">
        <v>25</v>
      </c>
      <c r="F3625" s="88">
        <v>360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5</v>
      </c>
      <c r="L3625" s="78"/>
      <c r="M3625" s="80"/>
      <c r="N3625" s="282"/>
      <c r="O3625" s="81"/>
    </row>
    <row r="3626" spans="1:15" hidden="1" x14ac:dyDescent="0.35">
      <c r="A3626" s="249" t="s">
        <v>2356</v>
      </c>
      <c r="B3626" s="261" t="s">
        <v>2029</v>
      </c>
      <c r="C3626" s="76">
        <v>44636</v>
      </c>
      <c r="D3626" s="180"/>
      <c r="E3626" s="86" t="s">
        <v>39</v>
      </c>
      <c r="F3626" s="88">
        <v>240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282"/>
      <c r="O3626" s="81"/>
    </row>
    <row r="3627" spans="1:15" hidden="1" x14ac:dyDescent="0.35">
      <c r="A3627" s="249" t="s">
        <v>2633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2518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2518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2501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2518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2518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2633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2569</v>
      </c>
      <c r="B3634" s="9" t="s">
        <v>2519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2537</v>
      </c>
      <c r="B3635" s="9" t="s">
        <v>2536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2633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2633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2455</v>
      </c>
      <c r="B3638" s="250" t="s">
        <v>2453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2455</v>
      </c>
      <c r="B3639" s="313" t="s">
        <v>2453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2455</v>
      </c>
      <c r="B3640" s="250" t="s">
        <v>2453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2482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2482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2482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2482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2455</v>
      </c>
      <c r="B3645" s="250" t="s">
        <v>2453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35">
      <c r="A3646" s="249" t="s">
        <v>2356</v>
      </c>
      <c r="B3646" s="261" t="s">
        <v>2029</v>
      </c>
      <c r="C3646" s="76">
        <v>44636</v>
      </c>
      <c r="D3646" s="180"/>
      <c r="E3646" s="86" t="s">
        <v>28</v>
      </c>
      <c r="F3646" s="88">
        <v>240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2</v>
      </c>
      <c r="L3646" s="78"/>
      <c r="M3646" s="80"/>
      <c r="N3646" s="282"/>
      <c r="O3646" s="81"/>
    </row>
    <row r="3647" spans="1:15" hidden="1" x14ac:dyDescent="0.35">
      <c r="A3647" s="249" t="s">
        <v>2356</v>
      </c>
      <c r="B3647" s="261" t="s">
        <v>2029</v>
      </c>
      <c r="C3647" s="76">
        <v>44636</v>
      </c>
      <c r="D3647" s="180"/>
      <c r="E3647" s="86" t="s">
        <v>18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3</v>
      </c>
      <c r="L3647" s="78"/>
      <c r="M3647" s="80"/>
      <c r="N3647" s="282"/>
      <c r="O3647" s="81"/>
    </row>
    <row r="3648" spans="1:15" hidden="1" x14ac:dyDescent="0.35">
      <c r="A3648" s="249" t="s">
        <v>2543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2543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2543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2543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2544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2544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2544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2544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35">
      <c r="A3656" s="249" t="s">
        <v>2750</v>
      </c>
      <c r="B3656" s="321" t="s">
        <v>1596</v>
      </c>
      <c r="C3656" s="76">
        <v>44742</v>
      </c>
      <c r="D3656" s="180"/>
      <c r="E3656" s="86" t="s">
        <v>25</v>
      </c>
      <c r="F3656" s="88">
        <v>360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0</v>
      </c>
      <c r="L3656" s="78"/>
      <c r="M3656" s="80"/>
      <c r="N3656" s="324"/>
      <c r="O3656" s="251" t="s">
        <v>1074</v>
      </c>
    </row>
    <row r="3657" spans="1:15" hidden="1" x14ac:dyDescent="0.35">
      <c r="A3657" s="249" t="s">
        <v>2750</v>
      </c>
      <c r="B3657" s="321" t="s">
        <v>1596</v>
      </c>
      <c r="C3657" s="76">
        <v>44742</v>
      </c>
      <c r="D3657" s="180"/>
      <c r="E3657" s="86" t="s">
        <v>39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324"/>
      <c r="O3657" s="251" t="s">
        <v>1074</v>
      </c>
    </row>
    <row r="3658" spans="1:15" hidden="1" x14ac:dyDescent="0.35">
      <c r="A3658" s="249" t="s">
        <v>2455</v>
      </c>
      <c r="B3658" s="313" t="s">
        <v>2454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2455</v>
      </c>
      <c r="B3659" s="250" t="s">
        <v>2454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2455</v>
      </c>
      <c r="B3660" s="250" t="s">
        <v>2454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2455</v>
      </c>
      <c r="B3661" s="250" t="s">
        <v>2454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2720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4"/>
      <c r="O3662" s="251" t="s">
        <v>1074</v>
      </c>
    </row>
    <row r="3663" spans="1:15" hidden="1" x14ac:dyDescent="0.35">
      <c r="A3663" s="249" t="s">
        <v>2720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4"/>
      <c r="O3663" s="251" t="s">
        <v>1074</v>
      </c>
    </row>
    <row r="3664" spans="1:15" hidden="1" x14ac:dyDescent="0.35">
      <c r="A3664" s="249" t="s">
        <v>2488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2488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2488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2488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2531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2531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2531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2531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2720</v>
      </c>
      <c r="B3672" s="322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4"/>
      <c r="O3672" s="251" t="s">
        <v>1074</v>
      </c>
    </row>
    <row r="3673" spans="1:15" hidden="1" x14ac:dyDescent="0.35">
      <c r="A3673" s="249" t="s">
        <v>2720</v>
      </c>
      <c r="B3673" s="322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4"/>
      <c r="O3673" s="251" t="s">
        <v>1074</v>
      </c>
    </row>
    <row r="3674" spans="1:15" hidden="1" x14ac:dyDescent="0.35">
      <c r="A3674" s="249" t="s">
        <v>2703</v>
      </c>
      <c r="B3674" s="150" t="s">
        <v>2705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4"/>
      <c r="O3674" s="251" t="s">
        <v>1074</v>
      </c>
    </row>
    <row r="3675" spans="1:15" hidden="1" x14ac:dyDescent="0.35">
      <c r="A3675" s="249" t="s">
        <v>2750</v>
      </c>
      <c r="B3675" s="321" t="s">
        <v>1596</v>
      </c>
      <c r="C3675" s="76">
        <v>44742</v>
      </c>
      <c r="D3675" s="180"/>
      <c r="E3675" s="86" t="s">
        <v>28</v>
      </c>
      <c r="F3675" s="88">
        <v>240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324"/>
      <c r="O3675" s="251" t="s">
        <v>1074</v>
      </c>
    </row>
    <row r="3676" spans="1:15" hidden="1" x14ac:dyDescent="0.35">
      <c r="A3676" s="249" t="s">
        <v>2672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4"/>
      <c r="O3676" s="251" t="s">
        <v>1074</v>
      </c>
    </row>
    <row r="3677" spans="1:15" hidden="1" x14ac:dyDescent="0.35">
      <c r="A3677" s="249" t="s">
        <v>2672</v>
      </c>
      <c r="B3677" s="322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4"/>
      <c r="O3677" s="251" t="s">
        <v>1074</v>
      </c>
    </row>
    <row r="3678" spans="1:15" hidden="1" x14ac:dyDescent="0.35">
      <c r="A3678" s="249" t="s">
        <v>2515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2515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2515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2515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2672</v>
      </c>
      <c r="B3682" s="322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4"/>
      <c r="O3682" s="251" t="s">
        <v>1074</v>
      </c>
    </row>
    <row r="3683" spans="1:15" hidden="1" x14ac:dyDescent="0.35">
      <c r="A3683" s="249" t="s">
        <v>2522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2522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2522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2672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4"/>
      <c r="O3686" s="251" t="s">
        <v>1074</v>
      </c>
    </row>
    <row r="3687" spans="1:15" hidden="1" x14ac:dyDescent="0.35">
      <c r="A3687" s="249" t="s">
        <v>2517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2517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2517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2521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2521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2521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2521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2517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35">
      <c r="A3695" s="249" t="s">
        <v>2750</v>
      </c>
      <c r="B3695" s="161" t="s">
        <v>1596</v>
      </c>
      <c r="C3695" s="76">
        <v>44742</v>
      </c>
      <c r="D3695" s="180"/>
      <c r="E3695" s="86" t="s">
        <v>18</v>
      </c>
      <c r="F3695" s="88">
        <v>360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324"/>
      <c r="O3695" s="251" t="s">
        <v>1074</v>
      </c>
    </row>
    <row r="3696" spans="1:15" hidden="1" x14ac:dyDescent="0.35">
      <c r="A3696" s="249" t="s">
        <v>2584</v>
      </c>
      <c r="B3696" s="313" t="s">
        <v>2462</v>
      </c>
      <c r="C3696" s="76">
        <v>44690</v>
      </c>
      <c r="D3696" s="180"/>
      <c r="E3696" s="161" t="s">
        <v>25</v>
      </c>
      <c r="F3696" s="88">
        <v>360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3</v>
      </c>
      <c r="L3696" s="78"/>
      <c r="M3696" s="80"/>
      <c r="N3696" s="282"/>
      <c r="O3696" s="81"/>
    </row>
    <row r="3697" spans="1:15" hidden="1" x14ac:dyDescent="0.35">
      <c r="A3697" s="249" t="s">
        <v>2584</v>
      </c>
      <c r="B3697" s="313" t="s">
        <v>2462</v>
      </c>
      <c r="C3697" s="76">
        <v>44690</v>
      </c>
      <c r="D3697" s="180"/>
      <c r="E3697" s="161" t="s">
        <v>18</v>
      </c>
      <c r="F3697" s="88">
        <v>360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282"/>
      <c r="O3697" s="81"/>
    </row>
    <row r="3698" spans="1:15" hidden="1" x14ac:dyDescent="0.35">
      <c r="A3698" s="249" t="s">
        <v>2584</v>
      </c>
      <c r="B3698" s="313" t="s">
        <v>2462</v>
      </c>
      <c r="C3698" s="76">
        <v>44690</v>
      </c>
      <c r="D3698" s="180"/>
      <c r="E3698" s="86" t="s">
        <v>28</v>
      </c>
      <c r="F3698" s="88">
        <v>240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282"/>
      <c r="O3698" s="81"/>
    </row>
    <row r="3699" spans="1:15" hidden="1" x14ac:dyDescent="0.35">
      <c r="A3699" s="249" t="s">
        <v>2550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2550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2550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2523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2523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2550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2526</v>
      </c>
      <c r="B3705" s="9" t="s">
        <v>2143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2526</v>
      </c>
      <c r="B3706" s="9" t="s">
        <v>2143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2540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2541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2733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4"/>
      <c r="O3709" s="251" t="s">
        <v>1074</v>
      </c>
    </row>
    <row r="3710" spans="1:15" hidden="1" x14ac:dyDescent="0.35">
      <c r="A3710" s="249" t="s">
        <v>2733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4"/>
      <c r="O3710" s="251" t="s">
        <v>1074</v>
      </c>
    </row>
    <row r="3711" spans="1:15" hidden="1" x14ac:dyDescent="0.35">
      <c r="A3711" s="249" t="s">
        <v>2529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2529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35">
      <c r="A3713" s="249" t="s">
        <v>2584</v>
      </c>
      <c r="B3713" s="250" t="s">
        <v>2462</v>
      </c>
      <c r="C3713" s="76">
        <v>44690</v>
      </c>
      <c r="D3713" s="180"/>
      <c r="E3713" s="86" t="s">
        <v>39</v>
      </c>
      <c r="F3713" s="88">
        <v>240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282"/>
      <c r="O3713" s="81"/>
    </row>
    <row r="3714" spans="1:15" hidden="1" x14ac:dyDescent="0.35">
      <c r="A3714" s="249" t="s">
        <v>2667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2667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2667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2667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2530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2532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2532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hidden="1" x14ac:dyDescent="0.35">
      <c r="A3721" s="249" t="s">
        <v>2779</v>
      </c>
      <c r="B3721" s="161" t="s">
        <v>1687</v>
      </c>
      <c r="C3721" s="76">
        <v>44755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36"/>
      <c r="O3721" s="81"/>
    </row>
    <row r="3722" spans="1:15" hidden="1" x14ac:dyDescent="0.35">
      <c r="A3722" s="249" t="s">
        <v>2779</v>
      </c>
      <c r="B3722" s="161" t="s">
        <v>1687</v>
      </c>
      <c r="C3722" s="76">
        <v>44755</v>
      </c>
      <c r="D3722" s="180"/>
      <c r="E3722" s="161" t="s">
        <v>28</v>
      </c>
      <c r="F3722" s="88">
        <v>240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36"/>
      <c r="O3722" s="81"/>
    </row>
    <row r="3723" spans="1:15" x14ac:dyDescent="0.35">
      <c r="A3723" s="249" t="s">
        <v>2779</v>
      </c>
      <c r="B3723" s="161" t="s">
        <v>1687</v>
      </c>
      <c r="C3723" s="76">
        <v>44755</v>
      </c>
      <c r="D3723" s="180"/>
      <c r="E3723" s="86" t="s">
        <v>18</v>
      </c>
      <c r="F3723" s="88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36"/>
      <c r="O3723" s="81"/>
    </row>
    <row r="3724" spans="1:15" hidden="1" x14ac:dyDescent="0.35">
      <c r="A3724" s="249" t="s">
        <v>2779</v>
      </c>
      <c r="B3724" s="161" t="s">
        <v>1687</v>
      </c>
      <c r="C3724" s="76">
        <v>44755</v>
      </c>
      <c r="D3724" s="180"/>
      <c r="E3724" s="86" t="s">
        <v>39</v>
      </c>
      <c r="F3724" s="88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36"/>
      <c r="O3724" s="81"/>
    </row>
    <row r="3725" spans="1:15" hidden="1" x14ac:dyDescent="0.35">
      <c r="A3725" s="249" t="s">
        <v>2621</v>
      </c>
      <c r="B3725" s="9" t="s">
        <v>2182</v>
      </c>
      <c r="C3725" s="76">
        <v>44698</v>
      </c>
      <c r="D3725" s="180"/>
      <c r="E3725" s="161" t="s">
        <v>28</v>
      </c>
      <c r="F3725" s="88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82"/>
      <c r="O3725" s="81"/>
    </row>
    <row r="3726" spans="1:15" hidden="1" x14ac:dyDescent="0.35">
      <c r="A3726" s="249" t="s">
        <v>2621</v>
      </c>
      <c r="B3726" s="9" t="s">
        <v>2182</v>
      </c>
      <c r="C3726" s="76">
        <v>44698</v>
      </c>
      <c r="D3726" s="180"/>
      <c r="E3726" s="161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hidden="1" x14ac:dyDescent="0.35">
      <c r="A3727" s="249" t="s">
        <v>2558</v>
      </c>
      <c r="B3727" s="9" t="s">
        <v>2557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2558</v>
      </c>
      <c r="B3728" s="9" t="s">
        <v>2557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2558</v>
      </c>
      <c r="B3729" s="9" t="s">
        <v>2557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2558</v>
      </c>
      <c r="B3730" s="9" t="s">
        <v>2557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2542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hidden="1" x14ac:dyDescent="0.35">
      <c r="A3732" s="249" t="s">
        <v>2621</v>
      </c>
      <c r="B3732" s="150" t="s">
        <v>2182</v>
      </c>
      <c r="C3732" s="76">
        <v>44698</v>
      </c>
      <c r="D3732" s="180"/>
      <c r="E3732" s="86" t="s">
        <v>25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hidden="1" x14ac:dyDescent="0.35">
      <c r="A3733" s="249" t="s">
        <v>2685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4"/>
      <c r="O3733" s="251" t="s">
        <v>1074</v>
      </c>
    </row>
    <row r="3734" spans="1:15" hidden="1" x14ac:dyDescent="0.35">
      <c r="A3734" s="249" t="s">
        <v>2685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4"/>
      <c r="O3734" s="251" t="s">
        <v>1074</v>
      </c>
    </row>
    <row r="3735" spans="1:15" hidden="1" x14ac:dyDescent="0.35">
      <c r="A3735" s="249" t="s">
        <v>2685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4"/>
      <c r="O3735" s="251" t="s">
        <v>1074</v>
      </c>
    </row>
    <row r="3736" spans="1:15" hidden="1" x14ac:dyDescent="0.35">
      <c r="A3736" s="249" t="s">
        <v>2437</v>
      </c>
      <c r="B3736" s="9" t="s">
        <v>2436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2710</v>
      </c>
      <c r="B3737" s="151" t="s">
        <v>2625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4"/>
      <c r="O3737" s="251" t="s">
        <v>1074</v>
      </c>
    </row>
    <row r="3738" spans="1:15" hidden="1" x14ac:dyDescent="0.35">
      <c r="A3738" s="249" t="s">
        <v>2710</v>
      </c>
      <c r="B3738" s="151" t="s">
        <v>2625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4"/>
      <c r="O3738" s="251" t="s">
        <v>1074</v>
      </c>
    </row>
    <row r="3739" spans="1:15" hidden="1" x14ac:dyDescent="0.35">
      <c r="A3739" s="249" t="s">
        <v>2512</v>
      </c>
      <c r="B3739" s="250" t="s">
        <v>2511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2512</v>
      </c>
      <c r="B3740" s="316" t="s">
        <v>2511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2512</v>
      </c>
      <c r="B3741" s="316" t="s">
        <v>2511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2512</v>
      </c>
      <c r="B3742" s="151" t="s">
        <v>2511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2288</v>
      </c>
      <c r="B3743" s="9" t="s">
        <v>2246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2288</v>
      </c>
      <c r="B3744" s="9" t="s">
        <v>2246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2499</v>
      </c>
      <c r="B3745" s="9" t="s">
        <v>2495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2512</v>
      </c>
      <c r="B3746" s="151" t="s">
        <v>2270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2287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2287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2512</v>
      </c>
      <c r="B3749" s="151" t="s">
        <v>2270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2512</v>
      </c>
      <c r="B3750" s="151" t="s">
        <v>2270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2512</v>
      </c>
      <c r="B3751" s="151" t="s">
        <v>2270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2512</v>
      </c>
      <c r="B3752" s="151" t="s">
        <v>2262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2512</v>
      </c>
      <c r="B3753" s="151" t="s">
        <v>2262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2423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2423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2512</v>
      </c>
      <c r="B3756" s="316" t="s">
        <v>2262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2507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2512</v>
      </c>
      <c r="B3758" s="316" t="s">
        <v>2262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2512</v>
      </c>
      <c r="B3759" s="9" t="s">
        <v>2271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2512</v>
      </c>
      <c r="B3760" s="150" t="s">
        <v>2271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2506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2512</v>
      </c>
      <c r="B3762" s="150" t="s">
        <v>2271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2512</v>
      </c>
      <c r="B3763" s="9" t="s">
        <v>2271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2710</v>
      </c>
      <c r="B3764" s="151" t="s">
        <v>2625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4"/>
      <c r="O3764" s="251" t="s">
        <v>1074</v>
      </c>
    </row>
    <row r="3765" spans="1:15" hidden="1" x14ac:dyDescent="0.35">
      <c r="A3765" s="249" t="s">
        <v>2710</v>
      </c>
      <c r="B3765" s="326" t="s">
        <v>2625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4"/>
      <c r="O3765" s="251" t="s">
        <v>1074</v>
      </c>
    </row>
    <row r="3766" spans="1:15" hidden="1" x14ac:dyDescent="0.35">
      <c r="A3766" s="249" t="s">
        <v>2620</v>
      </c>
      <c r="B3766" s="14" t="s">
        <v>2536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2221</v>
      </c>
      <c r="B3767" s="316" t="s">
        <v>2222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2221</v>
      </c>
      <c r="B3768" s="316" t="s">
        <v>2222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2556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2556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2221</v>
      </c>
      <c r="B3771" s="316" t="s">
        <v>2222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2221</v>
      </c>
      <c r="B3772" s="316" t="s">
        <v>2222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hidden="1" x14ac:dyDescent="0.35">
      <c r="A3773" s="249" t="s">
        <v>2621</v>
      </c>
      <c r="B3773" s="9" t="s">
        <v>2182</v>
      </c>
      <c r="C3773" s="76">
        <v>44698</v>
      </c>
      <c r="D3773" s="207"/>
      <c r="E3773" s="181" t="s">
        <v>18</v>
      </c>
      <c r="F3773" s="72">
        <v>600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1</v>
      </c>
      <c r="L3773" s="78"/>
      <c r="M3773" s="80"/>
      <c r="N3773" s="282"/>
      <c r="O3773" s="81"/>
    </row>
    <row r="3774" spans="1:15" hidden="1" x14ac:dyDescent="0.35">
      <c r="A3774" s="249" t="s">
        <v>2178</v>
      </c>
      <c r="B3774" s="151" t="s">
        <v>1620</v>
      </c>
      <c r="C3774" s="270">
        <v>44568</v>
      </c>
      <c r="D3774" s="180"/>
      <c r="E3774" s="157" t="s">
        <v>18</v>
      </c>
      <c r="F3774" s="88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65"/>
      <c r="O3774" s="81"/>
    </row>
    <row r="3775" spans="1:15" hidden="1" x14ac:dyDescent="0.35">
      <c r="A3775" s="249" t="s">
        <v>2178</v>
      </c>
      <c r="B3775" s="151" t="s">
        <v>1620</v>
      </c>
      <c r="C3775" s="270">
        <v>44568</v>
      </c>
      <c r="D3775" s="180"/>
      <c r="E3775" s="157" t="s">
        <v>28</v>
      </c>
      <c r="F3775" s="88">
        <v>360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265"/>
      <c r="O3775" s="81"/>
    </row>
    <row r="3776" spans="1:15" hidden="1" x14ac:dyDescent="0.35">
      <c r="A3776" s="249" t="s">
        <v>2178</v>
      </c>
      <c r="B3776" s="151" t="s">
        <v>1620</v>
      </c>
      <c r="C3776" s="270">
        <v>44568</v>
      </c>
      <c r="D3776" s="180"/>
      <c r="E3776" s="157" t="s">
        <v>39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1</v>
      </c>
      <c r="L3776" s="78"/>
      <c r="M3776" s="80"/>
      <c r="N3776" s="265"/>
      <c r="O3776" s="81"/>
    </row>
    <row r="3777" spans="1:15" hidden="1" x14ac:dyDescent="0.35">
      <c r="A3777" s="249" t="s">
        <v>2178</v>
      </c>
      <c r="B3777" s="151" t="s">
        <v>1620</v>
      </c>
      <c r="C3777" s="270">
        <v>44568</v>
      </c>
      <c r="D3777" s="180"/>
      <c r="E3777" s="157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265"/>
      <c r="O3777" s="81"/>
    </row>
    <row r="3778" spans="1:15" hidden="1" x14ac:dyDescent="0.35">
      <c r="A3778" s="159" t="s">
        <v>1675</v>
      </c>
      <c r="B3778" s="9" t="s">
        <v>1644</v>
      </c>
      <c r="C3778" s="89">
        <v>44383</v>
      </c>
      <c r="D3778" s="235"/>
      <c r="E3778" s="190" t="s">
        <v>28</v>
      </c>
      <c r="F3778" s="77">
        <v>600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3</v>
      </c>
      <c r="L3778" s="78"/>
      <c r="M3778" s="80"/>
      <c r="N3778" s="220"/>
      <c r="O3778" s="81"/>
    </row>
    <row r="3779" spans="1:15" hidden="1" x14ac:dyDescent="0.35">
      <c r="A3779" s="249" t="s">
        <v>2165</v>
      </c>
      <c r="B3779" s="9" t="s">
        <v>2113</v>
      </c>
      <c r="C3779" s="76">
        <v>44565</v>
      </c>
      <c r="D3779" s="235"/>
      <c r="E3779" s="250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65"/>
      <c r="O3779" s="81"/>
    </row>
    <row r="3780" spans="1:15" hidden="1" x14ac:dyDescent="0.35">
      <c r="A3780" s="249" t="s">
        <v>2165</v>
      </c>
      <c r="B3780" s="9" t="s">
        <v>2113</v>
      </c>
      <c r="C3780" s="76">
        <v>44565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65"/>
      <c r="O3780" s="81"/>
    </row>
    <row r="3781" spans="1:15" hidden="1" x14ac:dyDescent="0.35">
      <c r="A3781" s="249" t="s">
        <v>2616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2616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2616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2616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hidden="1" x14ac:dyDescent="0.35">
      <c r="A3785" s="249" t="s">
        <v>2165</v>
      </c>
      <c r="B3785" s="9" t="s">
        <v>2113</v>
      </c>
      <c r="C3785" s="76">
        <v>44565</v>
      </c>
      <c r="D3785" s="235"/>
      <c r="E3785" s="250" t="s">
        <v>28</v>
      </c>
      <c r="F3785" s="77">
        <v>240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265"/>
      <c r="O3785" s="81"/>
    </row>
    <row r="3786" spans="1:15" hidden="1" x14ac:dyDescent="0.35">
      <c r="A3786" s="249" t="s">
        <v>2165</v>
      </c>
      <c r="B3786" s="9" t="s">
        <v>2113</v>
      </c>
      <c r="C3786" s="76">
        <v>44565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65"/>
      <c r="O3786" s="81"/>
    </row>
    <row r="3787" spans="1:15" hidden="1" x14ac:dyDescent="0.35">
      <c r="A3787" s="249" t="s">
        <v>2698</v>
      </c>
      <c r="B3787" s="9" t="s">
        <v>198</v>
      </c>
      <c r="C3787" s="76">
        <v>44722</v>
      </c>
      <c r="D3787" s="264"/>
      <c r="E3787" s="250" t="s">
        <v>99</v>
      </c>
      <c r="F3787" s="77">
        <v>1200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324"/>
      <c r="O3787" s="81"/>
    </row>
    <row r="3788" spans="1:15" x14ac:dyDescent="0.35">
      <c r="A3788" s="249" t="s">
        <v>2758</v>
      </c>
      <c r="B3788" s="151" t="s">
        <v>1198</v>
      </c>
      <c r="C3788" s="76">
        <v>44749</v>
      </c>
      <c r="D3788" s="235"/>
      <c r="E3788" s="161" t="s">
        <v>25</v>
      </c>
      <c r="F3788" s="88">
        <v>360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324"/>
      <c r="O3788" s="81"/>
    </row>
    <row r="3789" spans="1:15" hidden="1" x14ac:dyDescent="0.35">
      <c r="A3789" s="249" t="s">
        <v>2758</v>
      </c>
      <c r="B3789" s="151" t="s">
        <v>1198</v>
      </c>
      <c r="C3789" s="76">
        <v>44749</v>
      </c>
      <c r="D3789" s="235"/>
      <c r="E3789" s="86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324"/>
      <c r="O3789" s="81"/>
    </row>
    <row r="3790" spans="1:15" hidden="1" x14ac:dyDescent="0.35">
      <c r="A3790" s="249" t="s">
        <v>2758</v>
      </c>
      <c r="B3790" s="151" t="s">
        <v>1198</v>
      </c>
      <c r="C3790" s="76">
        <v>44749</v>
      </c>
      <c r="D3790" s="235"/>
      <c r="E3790" s="86" t="s">
        <v>39</v>
      </c>
      <c r="F3790" s="88">
        <v>240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324"/>
      <c r="O3790" s="81"/>
    </row>
    <row r="3791" spans="1:15" hidden="1" x14ac:dyDescent="0.35">
      <c r="A3791" s="249" t="s">
        <v>2758</v>
      </c>
      <c r="B3791" s="151" t="s">
        <v>1198</v>
      </c>
      <c r="C3791" s="76">
        <v>44749</v>
      </c>
      <c r="D3791" s="235"/>
      <c r="E3791" s="161" t="s">
        <v>28</v>
      </c>
      <c r="F3791" s="88">
        <v>240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324"/>
      <c r="O3791" s="81"/>
    </row>
    <row r="3792" spans="1:15" hidden="1" x14ac:dyDescent="0.35">
      <c r="A3792" s="249" t="s">
        <v>2720</v>
      </c>
      <c r="B3792" s="151" t="s">
        <v>1060</v>
      </c>
      <c r="C3792" s="76">
        <v>44733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324"/>
      <c r="O3792" s="251" t="s">
        <v>1074</v>
      </c>
    </row>
    <row r="3793" spans="1:15" hidden="1" x14ac:dyDescent="0.35">
      <c r="A3793" s="249" t="s">
        <v>2720</v>
      </c>
      <c r="B3793" s="151" t="s">
        <v>1060</v>
      </c>
      <c r="C3793" s="76">
        <v>44733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324"/>
      <c r="O3793" s="251" t="s">
        <v>1074</v>
      </c>
    </row>
    <row r="3794" spans="1:15" hidden="1" x14ac:dyDescent="0.35">
      <c r="A3794" s="249" t="s">
        <v>2349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2392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2720</v>
      </c>
      <c r="B3796" s="151" t="s">
        <v>1060</v>
      </c>
      <c r="C3796" s="76">
        <v>44733</v>
      </c>
      <c r="D3796" s="180"/>
      <c r="E3796" s="161" t="s">
        <v>25</v>
      </c>
      <c r="F3796" s="72">
        <v>360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4"/>
      <c r="O3796" s="251" t="s">
        <v>1074</v>
      </c>
    </row>
    <row r="3797" spans="1:15" hidden="1" x14ac:dyDescent="0.35">
      <c r="A3797" s="249" t="s">
        <v>2720</v>
      </c>
      <c r="B3797" s="151" t="s">
        <v>1060</v>
      </c>
      <c r="C3797" s="76">
        <v>44733</v>
      </c>
      <c r="D3797" s="180"/>
      <c r="E3797" s="86" t="s">
        <v>18</v>
      </c>
      <c r="F3797" s="88">
        <v>360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4"/>
      <c r="O3797" s="251" t="s">
        <v>1074</v>
      </c>
    </row>
    <row r="3798" spans="1:15" hidden="1" x14ac:dyDescent="0.35">
      <c r="A3798" s="249" t="s">
        <v>2767</v>
      </c>
      <c r="B3798" s="151" t="s">
        <v>1476</v>
      </c>
      <c r="C3798" s="76">
        <v>44751</v>
      </c>
      <c r="D3798" s="264"/>
      <c r="E3798" s="250" t="s">
        <v>39</v>
      </c>
      <c r="F3798" s="77">
        <v>600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4"/>
      <c r="O3798" s="81"/>
    </row>
    <row r="3799" spans="1:15" hidden="1" x14ac:dyDescent="0.35">
      <c r="A3799" s="249" t="s">
        <v>2767</v>
      </c>
      <c r="B3799" s="151" t="s">
        <v>1476</v>
      </c>
      <c r="C3799" s="76">
        <v>44751</v>
      </c>
      <c r="D3799" s="264"/>
      <c r="E3799" s="250" t="s">
        <v>18</v>
      </c>
      <c r="F3799" s="77">
        <v>600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4"/>
      <c r="O3799" s="81"/>
    </row>
    <row r="3800" spans="1:15" hidden="1" x14ac:dyDescent="0.35">
      <c r="A3800" s="249" t="s">
        <v>2718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4"/>
      <c r="O3800" s="251" t="s">
        <v>1074</v>
      </c>
    </row>
    <row r="3801" spans="1:15" hidden="1" x14ac:dyDescent="0.35">
      <c r="A3801" s="249" t="s">
        <v>2643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2643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2643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2643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2642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2642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2718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4"/>
      <c r="O3807" s="251" t="s">
        <v>1074</v>
      </c>
    </row>
    <row r="3808" spans="1:15" hidden="1" x14ac:dyDescent="0.35">
      <c r="A3808" s="249" t="s">
        <v>2718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4"/>
      <c r="O3808" s="251" t="s">
        <v>1074</v>
      </c>
    </row>
    <row r="3809" spans="1:15" hidden="1" x14ac:dyDescent="0.35">
      <c r="A3809" s="249" t="s">
        <v>2641</v>
      </c>
      <c r="B3809" s="151" t="s">
        <v>2080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2718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4"/>
      <c r="O3810" s="251" t="s">
        <v>1074</v>
      </c>
    </row>
    <row r="3811" spans="1:15" x14ac:dyDescent="0.35">
      <c r="A3811" s="249" t="s">
        <v>2767</v>
      </c>
      <c r="B3811" s="151" t="s">
        <v>1476</v>
      </c>
      <c r="C3811" s="76">
        <v>44751</v>
      </c>
      <c r="D3811" s="264"/>
      <c r="E3811" s="250" t="s">
        <v>28</v>
      </c>
      <c r="F3811" s="77">
        <v>600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4"/>
      <c r="O3811" s="81"/>
    </row>
    <row r="3812" spans="1:15" hidden="1" x14ac:dyDescent="0.35">
      <c r="A3812" s="249" t="s">
        <v>2574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2574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2574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2574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2575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2575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2575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2575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2576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2576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2576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2576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2578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2578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2580</v>
      </c>
      <c r="B3826" s="9" t="s">
        <v>2579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2580</v>
      </c>
      <c r="B3827" s="9" t="s">
        <v>2579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2580</v>
      </c>
      <c r="B3828" s="9" t="s">
        <v>2579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2580</v>
      </c>
      <c r="B3829" s="9" t="s">
        <v>2579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2582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2582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2582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2582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hidden="1" x14ac:dyDescent="0.35">
      <c r="A3834" s="249" t="s">
        <v>2461</v>
      </c>
      <c r="B3834" s="9" t="s">
        <v>2460</v>
      </c>
      <c r="C3834" s="76">
        <v>44665</v>
      </c>
      <c r="D3834" s="264"/>
      <c r="E3834" s="86" t="s">
        <v>18</v>
      </c>
      <c r="F3834" s="77">
        <v>600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282"/>
      <c r="O3834" s="81"/>
    </row>
    <row r="3835" spans="1:15" hidden="1" x14ac:dyDescent="0.35">
      <c r="A3835" s="249" t="s">
        <v>2686</v>
      </c>
      <c r="B3835" s="250" t="s">
        <v>2610</v>
      </c>
      <c r="C3835" s="76">
        <v>44718</v>
      </c>
      <c r="D3835" s="264"/>
      <c r="E3835" s="250" t="s">
        <v>28</v>
      </c>
      <c r="F3835" s="77">
        <v>600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324"/>
      <c r="O3835" s="81"/>
    </row>
    <row r="3836" spans="1:15" x14ac:dyDescent="0.35">
      <c r="A3836" s="249" t="s">
        <v>2764</v>
      </c>
      <c r="B3836" s="9" t="s">
        <v>1113</v>
      </c>
      <c r="C3836" s="76">
        <v>44750</v>
      </c>
      <c r="D3836" s="235"/>
      <c r="E3836" s="261" t="s">
        <v>18</v>
      </c>
      <c r="F3836" s="77">
        <v>600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0</v>
      </c>
      <c r="L3836" s="78"/>
      <c r="M3836" s="80"/>
      <c r="N3836" s="324"/>
      <c r="O3836" s="81"/>
    </row>
    <row r="3837" spans="1:15" hidden="1" x14ac:dyDescent="0.35">
      <c r="A3837" s="249" t="s">
        <v>2764</v>
      </c>
      <c r="B3837" s="9" t="s">
        <v>1113</v>
      </c>
      <c r="C3837" s="76">
        <v>44750</v>
      </c>
      <c r="D3837" s="235"/>
      <c r="E3837" s="161" t="s">
        <v>28</v>
      </c>
      <c r="F3837" s="77">
        <v>600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324"/>
      <c r="O3837" s="81"/>
    </row>
    <row r="3838" spans="1:15" hidden="1" x14ac:dyDescent="0.35">
      <c r="A3838" s="249" t="s">
        <v>2735</v>
      </c>
      <c r="B3838" s="151" t="s">
        <v>2625</v>
      </c>
      <c r="C3838" s="76">
        <v>44739</v>
      </c>
      <c r="D3838" s="180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324"/>
      <c r="O3838" s="81"/>
    </row>
    <row r="3839" spans="1:15" hidden="1" x14ac:dyDescent="0.35">
      <c r="A3839" s="249" t="s">
        <v>2735</v>
      </c>
      <c r="B3839" s="151" t="s">
        <v>2625</v>
      </c>
      <c r="C3839" s="76">
        <v>44739</v>
      </c>
      <c r="D3839" s="180"/>
      <c r="E3839" s="86" t="s">
        <v>39</v>
      </c>
      <c r="F3839" s="88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324"/>
      <c r="O3839" s="81"/>
    </row>
    <row r="3840" spans="1:15" hidden="1" x14ac:dyDescent="0.35">
      <c r="A3840" s="249" t="s">
        <v>2735</v>
      </c>
      <c r="B3840" s="151" t="s">
        <v>2625</v>
      </c>
      <c r="C3840" s="76">
        <v>44739</v>
      </c>
      <c r="D3840" s="180"/>
      <c r="E3840" s="161" t="s">
        <v>25</v>
      </c>
      <c r="F3840" s="88">
        <v>360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324"/>
      <c r="O3840" s="81"/>
    </row>
    <row r="3841" spans="1:15" hidden="1" x14ac:dyDescent="0.35">
      <c r="A3841" s="249" t="s">
        <v>2735</v>
      </c>
      <c r="B3841" s="151" t="s">
        <v>2625</v>
      </c>
      <c r="C3841" s="76">
        <v>44739</v>
      </c>
      <c r="D3841" s="180"/>
      <c r="E3841" s="86" t="s">
        <v>18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324"/>
      <c r="O3841" s="81"/>
    </row>
    <row r="3842" spans="1:15" hidden="1" x14ac:dyDescent="0.35">
      <c r="A3842" s="249" t="s">
        <v>2636</v>
      </c>
      <c r="B3842" s="9" t="s">
        <v>2579</v>
      </c>
      <c r="C3842" s="76">
        <v>44702</v>
      </c>
      <c r="D3842" s="180"/>
      <c r="E3842" s="161" t="s">
        <v>18</v>
      </c>
      <c r="F3842" s="77">
        <v>360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265"/>
      <c r="O3842" s="81"/>
    </row>
    <row r="3843" spans="1:15" hidden="1" x14ac:dyDescent="0.35">
      <c r="A3843" s="249" t="s">
        <v>2636</v>
      </c>
      <c r="B3843" s="9" t="s">
        <v>2579</v>
      </c>
      <c r="C3843" s="76">
        <v>44702</v>
      </c>
      <c r="D3843" s="235"/>
      <c r="E3843" s="250" t="s">
        <v>25</v>
      </c>
      <c r="F3843" s="77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265"/>
      <c r="O3843" s="81"/>
    </row>
    <row r="3844" spans="1:15" hidden="1" x14ac:dyDescent="0.35">
      <c r="A3844" s="249" t="s">
        <v>2637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2637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2637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2637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2587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2587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2587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2587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2588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2588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2588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2588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hidden="1" x14ac:dyDescent="0.35">
      <c r="A3856" s="249" t="s">
        <v>2636</v>
      </c>
      <c r="B3856" s="9" t="s">
        <v>2579</v>
      </c>
      <c r="C3856" s="76">
        <v>44702</v>
      </c>
      <c r="D3856" s="235"/>
      <c r="E3856" s="157" t="s">
        <v>28</v>
      </c>
      <c r="F3856" s="77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265"/>
      <c r="O3856" s="81"/>
    </row>
    <row r="3857" spans="1:15" hidden="1" x14ac:dyDescent="0.35">
      <c r="A3857" s="249" t="s">
        <v>2636</v>
      </c>
      <c r="B3857" s="9" t="s">
        <v>2579</v>
      </c>
      <c r="C3857" s="76">
        <v>44702</v>
      </c>
      <c r="D3857" s="180"/>
      <c r="E3857" s="161" t="s">
        <v>39</v>
      </c>
      <c r="F3857" s="77">
        <v>240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265"/>
      <c r="O3857" s="81"/>
    </row>
    <row r="3858" spans="1:15" hidden="1" x14ac:dyDescent="0.35">
      <c r="A3858" s="249" t="s">
        <v>2675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4"/>
      <c r="O3858" s="251" t="s">
        <v>1074</v>
      </c>
    </row>
    <row r="3859" spans="1:15" hidden="1" x14ac:dyDescent="0.35">
      <c r="A3859" s="249" t="s">
        <v>2675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4"/>
      <c r="O3859" s="251" t="s">
        <v>1074</v>
      </c>
    </row>
    <row r="3860" spans="1:15" hidden="1" x14ac:dyDescent="0.35">
      <c r="A3860" s="249" t="s">
        <v>2634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2634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2634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2634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2572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2572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2593</v>
      </c>
      <c r="B3866" s="316" t="s">
        <v>2222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2593</v>
      </c>
      <c r="B3867" s="316" t="s">
        <v>2222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2593</v>
      </c>
      <c r="B3868" s="316" t="s">
        <v>2222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2593</v>
      </c>
      <c r="B3869" s="316" t="s">
        <v>2222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2594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2594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2594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2594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2675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4"/>
      <c r="O3874" s="251" t="s">
        <v>1074</v>
      </c>
    </row>
    <row r="3875" spans="1:15" hidden="1" x14ac:dyDescent="0.35">
      <c r="A3875" s="249" t="s">
        <v>2675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4"/>
      <c r="O3875" s="251" t="s">
        <v>1074</v>
      </c>
    </row>
    <row r="3876" spans="1:15" hidden="1" x14ac:dyDescent="0.35">
      <c r="A3876" s="249" t="s">
        <v>2638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2638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2598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2598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2601</v>
      </c>
      <c r="B3880" s="9" t="s">
        <v>2564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2601</v>
      </c>
      <c r="B3881" s="9" t="s">
        <v>2564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2601</v>
      </c>
      <c r="B3882" s="9" t="s">
        <v>2564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2601</v>
      </c>
      <c r="B3883" s="9" t="s">
        <v>2564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2602</v>
      </c>
      <c r="B3884" s="316" t="s">
        <v>2080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2638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2638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2607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2607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2607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2607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2608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2608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2608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2608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2609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2609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2609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2609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hidden="1" x14ac:dyDescent="0.35">
      <c r="A3899" s="249" t="s">
        <v>2612</v>
      </c>
      <c r="B3899" s="9" t="s">
        <v>2553</v>
      </c>
      <c r="C3899" s="76">
        <v>44696</v>
      </c>
      <c r="D3899" s="264"/>
      <c r="E3899" s="86" t="s">
        <v>39</v>
      </c>
      <c r="F3899" s="88">
        <v>240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282"/>
      <c r="O3899" s="81"/>
    </row>
    <row r="3900" spans="1:15" hidden="1" x14ac:dyDescent="0.35">
      <c r="A3900" s="249" t="s">
        <v>2612</v>
      </c>
      <c r="B3900" s="9" t="s">
        <v>2553</v>
      </c>
      <c r="C3900" s="76">
        <v>44696</v>
      </c>
      <c r="D3900" s="264"/>
      <c r="E3900" s="86" t="s">
        <v>28</v>
      </c>
      <c r="F3900" s="88">
        <v>240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hidden="1" x14ac:dyDescent="0.35">
      <c r="A3901" s="249" t="s">
        <v>2612</v>
      </c>
      <c r="B3901" s="9" t="s">
        <v>2553</v>
      </c>
      <c r="C3901" s="76">
        <v>44696</v>
      </c>
      <c r="D3901" s="264"/>
      <c r="E3901" s="86" t="s">
        <v>18</v>
      </c>
      <c r="F3901" s="88">
        <v>360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hidden="1" x14ac:dyDescent="0.35">
      <c r="A3902" s="249" t="s">
        <v>2612</v>
      </c>
      <c r="B3902" s="9" t="s">
        <v>2553</v>
      </c>
      <c r="C3902" s="76">
        <v>44696</v>
      </c>
      <c r="D3902" s="264"/>
      <c r="E3902" s="261" t="s">
        <v>25</v>
      </c>
      <c r="F3902" s="88">
        <v>360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35">
      <c r="A3903" s="249" t="s">
        <v>2560</v>
      </c>
      <c r="B3903" s="151" t="s">
        <v>2297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2613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2613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2613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2613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2560</v>
      </c>
      <c r="B3908" s="150" t="s">
        <v>2297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2567</v>
      </c>
      <c r="B3909" s="320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2567</v>
      </c>
      <c r="B3910" s="320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2567</v>
      </c>
      <c r="B3911" s="320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2615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2615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2615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2615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2567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2618</v>
      </c>
      <c r="B3917" s="9" t="s">
        <v>2557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2618</v>
      </c>
      <c r="B3918" s="9" t="s">
        <v>2557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2618</v>
      </c>
      <c r="B3919" s="9" t="s">
        <v>2557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2618</v>
      </c>
      <c r="B3920" s="9" t="s">
        <v>2557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2560</v>
      </c>
      <c r="B3921" s="9" t="s">
        <v>2297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2560</v>
      </c>
      <c r="B3922" s="9" t="s">
        <v>2297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2599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2599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2599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2599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2560</v>
      </c>
      <c r="B3927" s="9" t="s">
        <v>2297</v>
      </c>
      <c r="C3927" s="76">
        <v>44627</v>
      </c>
      <c r="D3927" s="264"/>
      <c r="E3927" s="250" t="s">
        <v>2117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35">
      <c r="A3928" s="249" t="s">
        <v>2628</v>
      </c>
      <c r="B3928" s="9" t="s">
        <v>2564</v>
      </c>
      <c r="C3928" s="76">
        <v>44700</v>
      </c>
      <c r="D3928" s="235"/>
      <c r="E3928" s="250" t="s">
        <v>25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81"/>
    </row>
    <row r="3929" spans="1:15" hidden="1" x14ac:dyDescent="0.35">
      <c r="A3929" s="249" t="s">
        <v>2628</v>
      </c>
      <c r="B3929" s="9" t="s">
        <v>2564</v>
      </c>
      <c r="C3929" s="76">
        <v>44700</v>
      </c>
      <c r="D3929" s="235"/>
      <c r="E3929" s="250" t="s">
        <v>18</v>
      </c>
      <c r="F3929" s="77">
        <v>360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0</v>
      </c>
      <c r="L3929" s="78"/>
      <c r="M3929" s="80"/>
      <c r="N3929" s="282"/>
      <c r="O3929" s="81"/>
    </row>
    <row r="3930" spans="1:15" hidden="1" x14ac:dyDescent="0.35">
      <c r="A3930" s="249" t="s">
        <v>2628</v>
      </c>
      <c r="B3930" s="9" t="s">
        <v>2564</v>
      </c>
      <c r="C3930" s="76">
        <v>44700</v>
      </c>
      <c r="D3930" s="235"/>
      <c r="E3930" s="250" t="s">
        <v>28</v>
      </c>
      <c r="F3930" s="77">
        <v>240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0</v>
      </c>
      <c r="L3930" s="78"/>
      <c r="M3930" s="80"/>
      <c r="N3930" s="282"/>
      <c r="O3930" s="81"/>
    </row>
    <row r="3931" spans="1:15" hidden="1" x14ac:dyDescent="0.35">
      <c r="A3931" s="249" t="s">
        <v>2628</v>
      </c>
      <c r="B3931" s="9" t="s">
        <v>2564</v>
      </c>
      <c r="C3931" s="76">
        <v>44700</v>
      </c>
      <c r="D3931" s="235"/>
      <c r="E3931" s="250" t="s">
        <v>39</v>
      </c>
      <c r="F3931" s="77">
        <v>240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0</v>
      </c>
      <c r="L3931" s="78"/>
      <c r="M3931" s="80"/>
      <c r="N3931" s="282"/>
      <c r="O3931" s="81"/>
    </row>
    <row r="3932" spans="1:15" hidden="1" x14ac:dyDescent="0.35">
      <c r="A3932" s="159" t="s">
        <v>1837</v>
      </c>
      <c r="B3932" s="161" t="s">
        <v>81</v>
      </c>
      <c r="C3932" s="89">
        <v>44471</v>
      </c>
      <c r="D3932" s="180"/>
      <c r="E3932" s="161" t="s">
        <v>25</v>
      </c>
      <c r="F3932" s="88">
        <v>360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0</v>
      </c>
      <c r="L3932" s="78"/>
      <c r="M3932" s="80"/>
      <c r="N3932" s="224"/>
      <c r="O3932" s="251"/>
    </row>
    <row r="3933" spans="1:15" hidden="1" x14ac:dyDescent="0.35">
      <c r="A3933" s="159" t="s">
        <v>1837</v>
      </c>
      <c r="B3933" s="161" t="s">
        <v>81</v>
      </c>
      <c r="C3933" s="89">
        <v>44471</v>
      </c>
      <c r="D3933" s="180"/>
      <c r="E3933" s="161" t="s">
        <v>18</v>
      </c>
      <c r="F3933" s="88">
        <v>360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24"/>
      <c r="O3933" s="251"/>
    </row>
    <row r="3934" spans="1:15" hidden="1" x14ac:dyDescent="0.35">
      <c r="A3934" s="159" t="s">
        <v>1837</v>
      </c>
      <c r="B3934" s="161" t="s">
        <v>81</v>
      </c>
      <c r="C3934" s="89">
        <v>44471</v>
      </c>
      <c r="D3934" s="180"/>
      <c r="E3934" s="86" t="s">
        <v>39</v>
      </c>
      <c r="F3934" s="88">
        <v>240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24"/>
      <c r="O3934" s="81"/>
    </row>
    <row r="3935" spans="1:15" hidden="1" x14ac:dyDescent="0.35">
      <c r="A3935" s="159" t="s">
        <v>1837</v>
      </c>
      <c r="B3935" s="161" t="s">
        <v>81</v>
      </c>
      <c r="C3935" s="89">
        <v>44471</v>
      </c>
      <c r="D3935" s="180"/>
      <c r="E3935" s="86" t="s">
        <v>28</v>
      </c>
      <c r="F3935" s="88">
        <v>240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24"/>
      <c r="O3935" s="81"/>
    </row>
    <row r="3936" spans="1:15" hidden="1" x14ac:dyDescent="0.35">
      <c r="A3936" s="249" t="s">
        <v>2688</v>
      </c>
      <c r="B3936" s="9" t="s">
        <v>789</v>
      </c>
      <c r="C3936" s="76">
        <v>44721</v>
      </c>
      <c r="D3936" s="180"/>
      <c r="E3936" s="161" t="s">
        <v>18</v>
      </c>
      <c r="F3936" s="77">
        <v>240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324"/>
      <c r="O3936" s="81"/>
    </row>
    <row r="3937" spans="1:15" hidden="1" x14ac:dyDescent="0.35">
      <c r="A3937" s="249" t="s">
        <v>2626</v>
      </c>
      <c r="B3937" s="316" t="s">
        <v>2625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2626</v>
      </c>
      <c r="B3938" s="316" t="s">
        <v>2625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2626</v>
      </c>
      <c r="B3939" s="316" t="s">
        <v>2625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2626</v>
      </c>
      <c r="B3940" s="316" t="s">
        <v>2625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2600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2600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hidden="1" x14ac:dyDescent="0.35">
      <c r="A3943" s="249" t="s">
        <v>2688</v>
      </c>
      <c r="B3943" s="150" t="s">
        <v>789</v>
      </c>
      <c r="C3943" s="76">
        <v>44721</v>
      </c>
      <c r="D3943" s="235"/>
      <c r="E3943" s="250" t="s">
        <v>25</v>
      </c>
      <c r="F3943" s="77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324"/>
      <c r="O3943" s="81"/>
    </row>
    <row r="3944" spans="1:15" hidden="1" x14ac:dyDescent="0.35">
      <c r="A3944" s="249" t="s">
        <v>2688</v>
      </c>
      <c r="B3944" s="150" t="s">
        <v>789</v>
      </c>
      <c r="C3944" s="76">
        <v>44721</v>
      </c>
      <c r="D3944" s="235"/>
      <c r="E3944" s="157" t="s">
        <v>28</v>
      </c>
      <c r="F3944" s="77">
        <v>120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4"/>
      <c r="O3944" s="81"/>
    </row>
    <row r="3945" spans="1:15" hidden="1" x14ac:dyDescent="0.35">
      <c r="A3945" s="249" t="s">
        <v>2688</v>
      </c>
      <c r="B3945" s="9" t="s">
        <v>789</v>
      </c>
      <c r="C3945" s="76">
        <v>44721</v>
      </c>
      <c r="D3945" s="180"/>
      <c r="E3945" s="161" t="s">
        <v>39</v>
      </c>
      <c r="F3945" s="77">
        <v>120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324"/>
      <c r="O3945" s="81"/>
    </row>
    <row r="3946" spans="1:15" hidden="1" x14ac:dyDescent="0.35">
      <c r="A3946" s="249" t="s">
        <v>2534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hidden="1" x14ac:dyDescent="0.35">
      <c r="A3947" s="159" t="s">
        <v>1839</v>
      </c>
      <c r="B3947" s="9" t="s">
        <v>17</v>
      </c>
      <c r="C3947" s="89">
        <v>44471</v>
      </c>
      <c r="D3947" s="235"/>
      <c r="E3947" s="86" t="s">
        <v>28</v>
      </c>
      <c r="F3947" s="88">
        <v>240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24"/>
      <c r="O3947" s="251"/>
    </row>
    <row r="3948" spans="1:15" hidden="1" x14ac:dyDescent="0.35">
      <c r="A3948" s="159" t="s">
        <v>1839</v>
      </c>
      <c r="B3948" s="9" t="s">
        <v>17</v>
      </c>
      <c r="C3948" s="89">
        <v>44471</v>
      </c>
      <c r="D3948" s="235"/>
      <c r="E3948" s="86" t="s">
        <v>39</v>
      </c>
      <c r="F3948" s="88">
        <v>240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24"/>
      <c r="O3948" s="81"/>
    </row>
    <row r="3949" spans="1:15" hidden="1" x14ac:dyDescent="0.35">
      <c r="A3949" s="159" t="s">
        <v>1839</v>
      </c>
      <c r="B3949" s="9" t="s">
        <v>17</v>
      </c>
      <c r="C3949" s="89">
        <v>44471</v>
      </c>
      <c r="D3949" s="235"/>
      <c r="E3949" s="161" t="s">
        <v>18</v>
      </c>
      <c r="F3949" s="88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224"/>
      <c r="O3949" s="81"/>
    </row>
    <row r="3950" spans="1:15" hidden="1" x14ac:dyDescent="0.35">
      <c r="A3950" s="249" t="s">
        <v>2535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hidden="1" x14ac:dyDescent="0.35">
      <c r="A3951" s="159" t="s">
        <v>1839</v>
      </c>
      <c r="B3951" s="9" t="s">
        <v>17</v>
      </c>
      <c r="C3951" s="89">
        <v>44471</v>
      </c>
      <c r="D3951" s="235"/>
      <c r="E3951" s="86" t="s">
        <v>25</v>
      </c>
      <c r="F3951" s="88">
        <v>360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224"/>
      <c r="O3951" s="81"/>
    </row>
    <row r="3952" spans="1:15" hidden="1" x14ac:dyDescent="0.35">
      <c r="A3952" s="249" t="s">
        <v>2749</v>
      </c>
      <c r="B3952" s="9" t="s">
        <v>27</v>
      </c>
      <c r="C3952" s="76">
        <v>44742</v>
      </c>
      <c r="D3952" s="235"/>
      <c r="E3952" s="86" t="s">
        <v>28</v>
      </c>
      <c r="F3952" s="88">
        <v>240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4"/>
      <c r="O3952" s="81"/>
    </row>
    <row r="3953" spans="1:15" hidden="1" x14ac:dyDescent="0.35">
      <c r="A3953" s="249" t="s">
        <v>2749</v>
      </c>
      <c r="B3953" s="9" t="s">
        <v>27</v>
      </c>
      <c r="C3953" s="76">
        <v>44742</v>
      </c>
      <c r="D3953" s="235"/>
      <c r="E3953" s="86" t="s">
        <v>39</v>
      </c>
      <c r="F3953" s="88">
        <v>240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3</v>
      </c>
      <c r="L3953" s="78"/>
      <c r="M3953" s="80"/>
      <c r="N3953" s="324"/>
      <c r="O3953" s="81"/>
    </row>
    <row r="3954" spans="1:15" hidden="1" x14ac:dyDescent="0.35">
      <c r="A3954" s="249" t="s">
        <v>2749</v>
      </c>
      <c r="B3954" s="9" t="s">
        <v>27</v>
      </c>
      <c r="C3954" s="76">
        <v>44742</v>
      </c>
      <c r="D3954" s="235"/>
      <c r="E3954" s="86" t="s">
        <v>25</v>
      </c>
      <c r="F3954" s="88">
        <v>360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4"/>
      <c r="O3954" s="81"/>
    </row>
    <row r="3955" spans="1:15" hidden="1" x14ac:dyDescent="0.35">
      <c r="A3955" s="249" t="s">
        <v>2749</v>
      </c>
      <c r="B3955" s="9" t="s">
        <v>27</v>
      </c>
      <c r="C3955" s="76">
        <v>44742</v>
      </c>
      <c r="D3955" s="235"/>
      <c r="E3955" s="161" t="s">
        <v>18</v>
      </c>
      <c r="F3955" s="88">
        <v>360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4"/>
      <c r="O3955" s="81"/>
    </row>
    <row r="3956" spans="1:15" hidden="1" x14ac:dyDescent="0.35">
      <c r="A3956" s="249" t="s">
        <v>2614</v>
      </c>
      <c r="B3956" s="151" t="s">
        <v>2222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2614</v>
      </c>
      <c r="B3957" s="151" t="s">
        <v>2222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2614</v>
      </c>
      <c r="B3958" s="151" t="s">
        <v>2222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2614</v>
      </c>
      <c r="B3959" s="151" t="s">
        <v>2222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2697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2311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2697</v>
      </c>
      <c r="B3962" s="322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2697</v>
      </c>
      <c r="B3963" s="322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2714</v>
      </c>
      <c r="B3964" s="322" t="s">
        <v>2080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4"/>
      <c r="O3964" s="251" t="s">
        <v>1074</v>
      </c>
    </row>
    <row r="3965" spans="1:15" hidden="1" x14ac:dyDescent="0.35">
      <c r="A3965" s="249" t="s">
        <v>2697</v>
      </c>
      <c r="B3965" s="322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2378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2378</v>
      </c>
      <c r="B3967" s="322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2378</v>
      </c>
      <c r="B3968" s="322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2378</v>
      </c>
      <c r="B3969" s="322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2635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2666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2666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2666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2666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2678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4"/>
      <c r="O3975" s="251" t="s">
        <v>1074</v>
      </c>
    </row>
    <row r="3976" spans="1:15" hidden="1" x14ac:dyDescent="0.35">
      <c r="A3976" s="249" t="s">
        <v>2702</v>
      </c>
      <c r="B3976" s="322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4"/>
      <c r="O3976" s="251" t="s">
        <v>1074</v>
      </c>
    </row>
    <row r="3977" spans="1:15" hidden="1" x14ac:dyDescent="0.35">
      <c r="A3977" s="249" t="s">
        <v>2678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4"/>
      <c r="O3977" s="251" t="s">
        <v>1074</v>
      </c>
    </row>
    <row r="3978" spans="1:15" hidden="1" x14ac:dyDescent="0.35">
      <c r="A3978" s="249" t="s">
        <v>2418</v>
      </c>
      <c r="B3978" s="314" t="s">
        <v>2419</v>
      </c>
      <c r="C3978" s="76">
        <v>44655</v>
      </c>
      <c r="D3978" s="180"/>
      <c r="E3978" s="86" t="s">
        <v>18</v>
      </c>
      <c r="F3978" s="88">
        <v>360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282"/>
      <c r="O3978" s="81"/>
    </row>
    <row r="3979" spans="1:15" hidden="1" x14ac:dyDescent="0.35">
      <c r="A3979" s="249" t="s">
        <v>2418</v>
      </c>
      <c r="B3979" s="314" t="s">
        <v>2419</v>
      </c>
      <c r="C3979" s="76">
        <v>44655</v>
      </c>
      <c r="D3979" s="180"/>
      <c r="E3979" s="86" t="s">
        <v>25</v>
      </c>
      <c r="F3979" s="88">
        <v>360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2</v>
      </c>
      <c r="L3979" s="78"/>
      <c r="M3979" s="80"/>
      <c r="N3979" s="282"/>
      <c r="O3979" s="81"/>
    </row>
    <row r="3980" spans="1:15" hidden="1" x14ac:dyDescent="0.35">
      <c r="A3980" s="249" t="s">
        <v>2418</v>
      </c>
      <c r="B3980" s="261" t="s">
        <v>2419</v>
      </c>
      <c r="C3980" s="76">
        <v>44655</v>
      </c>
      <c r="D3980" s="180"/>
      <c r="E3980" s="86" t="s">
        <v>39</v>
      </c>
      <c r="F3980" s="88">
        <v>240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3</v>
      </c>
      <c r="L3980" s="78"/>
      <c r="M3980" s="80"/>
      <c r="N3980" s="282"/>
      <c r="O3980" s="81"/>
    </row>
    <row r="3981" spans="1:15" hidden="1" x14ac:dyDescent="0.35">
      <c r="A3981" s="249" t="s">
        <v>2702</v>
      </c>
      <c r="B3981" s="322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4"/>
      <c r="O3981" s="251" t="s">
        <v>1074</v>
      </c>
    </row>
    <row r="3982" spans="1:15" hidden="1" x14ac:dyDescent="0.35">
      <c r="A3982" s="249" t="s">
        <v>2418</v>
      </c>
      <c r="B3982" s="314" t="s">
        <v>2419</v>
      </c>
      <c r="C3982" s="76">
        <v>44655</v>
      </c>
      <c r="D3982" s="180"/>
      <c r="E3982" s="86" t="s">
        <v>28</v>
      </c>
      <c r="F3982" s="88">
        <v>240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282"/>
      <c r="O3982" s="81"/>
    </row>
    <row r="3983" spans="1:15" x14ac:dyDescent="0.35">
      <c r="A3983" s="249" t="s">
        <v>2747</v>
      </c>
      <c r="B3983" s="322" t="s">
        <v>1421</v>
      </c>
      <c r="C3983" s="76">
        <v>44742</v>
      </c>
      <c r="D3983" s="180"/>
      <c r="E3983" s="86" t="s">
        <v>39</v>
      </c>
      <c r="F3983" s="88">
        <v>240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324"/>
      <c r="O3983" s="81"/>
    </row>
    <row r="3984" spans="1:15" hidden="1" x14ac:dyDescent="0.35">
      <c r="A3984" s="249" t="s">
        <v>2747</v>
      </c>
      <c r="B3984" s="322" t="s">
        <v>1421</v>
      </c>
      <c r="C3984" s="76">
        <v>44742</v>
      </c>
      <c r="D3984" s="180"/>
      <c r="E3984" s="86" t="s">
        <v>28</v>
      </c>
      <c r="F3984" s="88">
        <v>240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324"/>
      <c r="O3984" s="81"/>
    </row>
    <row r="3985" spans="1:15" hidden="1" x14ac:dyDescent="0.35">
      <c r="A3985" s="249" t="s">
        <v>2747</v>
      </c>
      <c r="B3985" s="322" t="s">
        <v>1421</v>
      </c>
      <c r="C3985" s="76">
        <v>44742</v>
      </c>
      <c r="D3985" s="180"/>
      <c r="E3985" s="161" t="s">
        <v>25</v>
      </c>
      <c r="F3985" s="88">
        <v>360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324"/>
      <c r="O3985" s="81"/>
    </row>
    <row r="3986" spans="1:15" hidden="1" x14ac:dyDescent="0.35">
      <c r="A3986" s="249" t="s">
        <v>2712</v>
      </c>
      <c r="B3986" s="322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2712</v>
      </c>
      <c r="B3987" s="322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2712</v>
      </c>
      <c r="B3988" s="322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2712</v>
      </c>
      <c r="B3989" s="322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hidden="1" x14ac:dyDescent="0.35">
      <c r="A3990" s="249" t="s">
        <v>2747</v>
      </c>
      <c r="B3990" s="322" t="s">
        <v>1421</v>
      </c>
      <c r="C3990" s="76">
        <v>44742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0</v>
      </c>
      <c r="L3990" s="78"/>
      <c r="M3990" s="80"/>
      <c r="N3990" s="324"/>
      <c r="O3990" s="81"/>
    </row>
    <row r="3991" spans="1:15" hidden="1" x14ac:dyDescent="0.35">
      <c r="A3991" s="249" t="s">
        <v>2773</v>
      </c>
      <c r="B3991" s="150" t="s">
        <v>1413</v>
      </c>
      <c r="C3991" s="76">
        <v>44753</v>
      </c>
      <c r="D3991" s="235"/>
      <c r="E3991" s="86" t="s">
        <v>28</v>
      </c>
      <c r="F3991" s="88">
        <v>240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282"/>
      <c r="O3991" s="81"/>
    </row>
    <row r="3992" spans="1:15" hidden="1" x14ac:dyDescent="0.35">
      <c r="A3992" s="249" t="s">
        <v>2773</v>
      </c>
      <c r="B3992" s="150" t="s">
        <v>1413</v>
      </c>
      <c r="C3992" s="76">
        <v>44753</v>
      </c>
      <c r="D3992" s="235"/>
      <c r="E3992" s="86" t="s">
        <v>18</v>
      </c>
      <c r="F3992" s="88">
        <v>360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hidden="1" x14ac:dyDescent="0.35">
      <c r="A3993" s="249" t="s">
        <v>2773</v>
      </c>
      <c r="B3993" s="150" t="s">
        <v>1413</v>
      </c>
      <c r="C3993" s="76">
        <v>44753</v>
      </c>
      <c r="D3993" s="235"/>
      <c r="E3993" s="86" t="s">
        <v>39</v>
      </c>
      <c r="F3993" s="88">
        <v>240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282"/>
      <c r="O3993" s="81"/>
    </row>
    <row r="3994" spans="1:15" hidden="1" x14ac:dyDescent="0.35">
      <c r="A3994" s="249" t="s">
        <v>2727</v>
      </c>
      <c r="B3994" s="322" t="s">
        <v>2080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4"/>
      <c r="O3994" s="251" t="s">
        <v>1074</v>
      </c>
    </row>
    <row r="3995" spans="1:15" x14ac:dyDescent="0.35">
      <c r="A3995" s="249" t="s">
        <v>2773</v>
      </c>
      <c r="B3995" s="150" t="s">
        <v>1413</v>
      </c>
      <c r="C3995" s="76">
        <v>44753</v>
      </c>
      <c r="D3995" s="235"/>
      <c r="E3995" s="86" t="s">
        <v>25</v>
      </c>
      <c r="F3995" s="88">
        <v>360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282"/>
      <c r="O3995" s="81"/>
    </row>
    <row r="3996" spans="1:15" hidden="1" x14ac:dyDescent="0.35">
      <c r="A3996" s="249" t="s">
        <v>2706</v>
      </c>
      <c r="B3996" s="9" t="s">
        <v>1127</v>
      </c>
      <c r="C3996" s="76">
        <v>44729</v>
      </c>
      <c r="D3996" s="264"/>
      <c r="E3996" s="250" t="s">
        <v>18</v>
      </c>
      <c r="F3996" s="77">
        <v>50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324"/>
      <c r="O3996" s="81"/>
    </row>
    <row r="3997" spans="1:15" hidden="1" x14ac:dyDescent="0.35">
      <c r="A3997" s="249" t="s">
        <v>2706</v>
      </c>
      <c r="B3997" s="9" t="s">
        <v>1127</v>
      </c>
      <c r="C3997" s="76">
        <v>44729</v>
      </c>
      <c r="D3997" s="264"/>
      <c r="E3997" s="250" t="s">
        <v>28</v>
      </c>
      <c r="F3997" s="77">
        <v>50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324"/>
      <c r="O3997" s="81"/>
    </row>
    <row r="3998" spans="1:15" hidden="1" x14ac:dyDescent="0.35">
      <c r="A3998" s="249" t="s">
        <v>2706</v>
      </c>
      <c r="B3998" s="9" t="s">
        <v>1127</v>
      </c>
      <c r="C3998" s="76">
        <v>44729</v>
      </c>
      <c r="D3998" s="264"/>
      <c r="E3998" s="250" t="s">
        <v>135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324"/>
      <c r="O3998" s="81"/>
    </row>
    <row r="3999" spans="1:15" x14ac:dyDescent="0.35">
      <c r="A3999" s="249" t="s">
        <v>2734</v>
      </c>
      <c r="B3999" s="9" t="s">
        <v>2258</v>
      </c>
      <c r="C3999" s="76">
        <v>44738</v>
      </c>
      <c r="D3999" s="264"/>
      <c r="E3999" s="161" t="s">
        <v>39</v>
      </c>
      <c r="F3999" s="77">
        <v>3257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3336</v>
      </c>
      <c r="H399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324"/>
      <c r="O3999" s="81"/>
    </row>
    <row r="4000" spans="1:15" hidden="1" x14ac:dyDescent="0.35">
      <c r="A4000" s="249" t="s">
        <v>2498</v>
      </c>
      <c r="B4000" s="9" t="s">
        <v>2496</v>
      </c>
      <c r="C4000" s="76">
        <v>44670</v>
      </c>
      <c r="D4000" s="264"/>
      <c r="E4000" s="250" t="s">
        <v>18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81"/>
    </row>
    <row r="4001" spans="1:15" hidden="1" x14ac:dyDescent="0.35">
      <c r="A4001" s="249" t="s">
        <v>2761</v>
      </c>
      <c r="B4001" s="9" t="s">
        <v>2297</v>
      </c>
      <c r="C4001" s="76">
        <v>44736</v>
      </c>
      <c r="D4001" s="264"/>
      <c r="E4001" s="250" t="s">
        <v>79</v>
      </c>
      <c r="F4001" s="77">
        <v>360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4"/>
      <c r="O4001" s="251" t="s">
        <v>1074</v>
      </c>
    </row>
    <row r="4002" spans="1:15" hidden="1" x14ac:dyDescent="0.35">
      <c r="A4002" s="249" t="s">
        <v>2761</v>
      </c>
      <c r="B4002" s="9" t="s">
        <v>2297</v>
      </c>
      <c r="C4002" s="76">
        <v>44736</v>
      </c>
      <c r="D4002" s="264"/>
      <c r="E4002" s="250" t="s">
        <v>135</v>
      </c>
      <c r="F4002" s="77">
        <v>360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324"/>
      <c r="O4002" s="251" t="s">
        <v>1074</v>
      </c>
    </row>
    <row r="4003" spans="1:15" hidden="1" x14ac:dyDescent="0.35">
      <c r="A4003" s="249" t="s">
        <v>2761</v>
      </c>
      <c r="B4003" s="9" t="s">
        <v>2766</v>
      </c>
      <c r="C4003" s="76">
        <v>44736</v>
      </c>
      <c r="D4003" s="264"/>
      <c r="E4003" s="250" t="s">
        <v>930</v>
      </c>
      <c r="F4003" s="77">
        <v>300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324"/>
      <c r="O4003" s="81"/>
    </row>
    <row r="4004" spans="1:15" hidden="1" x14ac:dyDescent="0.35">
      <c r="A4004" s="249" t="s">
        <v>2673</v>
      </c>
      <c r="B4004" s="9" t="s">
        <v>1127</v>
      </c>
      <c r="C4004" s="76">
        <v>44715</v>
      </c>
      <c r="D4004" s="264"/>
      <c r="E4004" s="250" t="s">
        <v>1629</v>
      </c>
      <c r="F4004" s="77">
        <v>120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324"/>
      <c r="O4004" s="81"/>
    </row>
    <row r="4005" spans="1:15" hidden="1" x14ac:dyDescent="0.35">
      <c r="A4005" s="249" t="s">
        <v>2552</v>
      </c>
      <c r="B4005" s="9" t="s">
        <v>1127</v>
      </c>
      <c r="C4005" s="76">
        <v>44685</v>
      </c>
      <c r="D4005" s="264"/>
      <c r="E4005" s="250" t="s">
        <v>28</v>
      </c>
      <c r="F4005" s="77">
        <v>120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251"/>
    </row>
    <row r="4006" spans="1:15" hidden="1" x14ac:dyDescent="0.35">
      <c r="A4006" s="249" t="s">
        <v>2763</v>
      </c>
      <c r="B4006" s="9" t="s">
        <v>1146</v>
      </c>
      <c r="C4006" s="76">
        <v>44750</v>
      </c>
      <c r="D4006" s="264"/>
      <c r="E4006" s="250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4"/>
      <c r="O4006" s="81"/>
    </row>
    <row r="4007" spans="1:15" x14ac:dyDescent="0.35">
      <c r="A4007" s="249" t="s">
        <v>2763</v>
      </c>
      <c r="B4007" s="9" t="s">
        <v>1146</v>
      </c>
      <c r="C4007" s="76">
        <v>44750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324"/>
      <c r="O4007" s="81"/>
    </row>
    <row r="4008" spans="1:15" hidden="1" x14ac:dyDescent="0.35">
      <c r="A4008" s="249" t="s">
        <v>2742</v>
      </c>
      <c r="B4008" s="151" t="s">
        <v>1166</v>
      </c>
      <c r="C4008" s="76">
        <v>44741</v>
      </c>
      <c r="D4008" s="264"/>
      <c r="E4008" s="161" t="s">
        <v>18</v>
      </c>
      <c r="F4008" s="88">
        <v>360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324"/>
      <c r="O4008" s="81"/>
    </row>
    <row r="4009" spans="1:15" hidden="1" x14ac:dyDescent="0.35">
      <c r="A4009" s="249" t="s">
        <v>2742</v>
      </c>
      <c r="B4009" s="151" t="s">
        <v>1166</v>
      </c>
      <c r="C4009" s="76">
        <v>44741</v>
      </c>
      <c r="D4009" s="264"/>
      <c r="E4009" s="161" t="s">
        <v>25</v>
      </c>
      <c r="F4009" s="88">
        <v>360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324"/>
      <c r="O4009" s="81"/>
    </row>
    <row r="4010" spans="1:15" hidden="1" x14ac:dyDescent="0.35">
      <c r="A4010" s="249" t="s">
        <v>2742</v>
      </c>
      <c r="B4010" s="151" t="s">
        <v>1166</v>
      </c>
      <c r="C4010" s="76">
        <v>44741</v>
      </c>
      <c r="D4010" s="264"/>
      <c r="E4010" s="86" t="s">
        <v>39</v>
      </c>
      <c r="F4010" s="88">
        <v>240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324"/>
      <c r="O4010" s="81"/>
    </row>
    <row r="4011" spans="1:15" hidden="1" x14ac:dyDescent="0.35">
      <c r="A4011" s="249" t="s">
        <v>2742</v>
      </c>
      <c r="B4011" s="151" t="s">
        <v>1166</v>
      </c>
      <c r="C4011" s="76">
        <v>44741</v>
      </c>
      <c r="D4011" s="264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4"/>
      <c r="O4011" s="81"/>
    </row>
    <row r="4012" spans="1:15" hidden="1" x14ac:dyDescent="0.35">
      <c r="A4012" s="249" t="s">
        <v>2390</v>
      </c>
      <c r="B4012" s="9" t="s">
        <v>2389</v>
      </c>
      <c r="C4012" s="76">
        <v>44649</v>
      </c>
      <c r="D4012" s="264"/>
      <c r="E4012" s="157" t="s">
        <v>18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282"/>
      <c r="O4012" s="81"/>
    </row>
    <row r="4013" spans="1:15" hidden="1" x14ac:dyDescent="0.35">
      <c r="A4013" s="249" t="s">
        <v>2654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2654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2654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2654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35">
      <c r="A4017" s="249" t="s">
        <v>2390</v>
      </c>
      <c r="B4017" s="322" t="s">
        <v>2389</v>
      </c>
      <c r="C4017" s="76">
        <v>44649</v>
      </c>
      <c r="D4017" s="264"/>
      <c r="E4017" s="157" t="s">
        <v>28</v>
      </c>
      <c r="F4017" s="88">
        <v>240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81"/>
    </row>
    <row r="4018" spans="1:15" hidden="1" x14ac:dyDescent="0.35">
      <c r="A4018" s="249" t="s">
        <v>2390</v>
      </c>
      <c r="B4018" s="151" t="s">
        <v>2389</v>
      </c>
      <c r="C4018" s="76">
        <v>44649</v>
      </c>
      <c r="D4018" s="264"/>
      <c r="E4018" s="157" t="s">
        <v>39</v>
      </c>
      <c r="F4018" s="88">
        <v>240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282"/>
      <c r="O4018" s="81"/>
    </row>
    <row r="4019" spans="1:15" hidden="1" x14ac:dyDescent="0.35">
      <c r="A4019" s="249" t="s">
        <v>2390</v>
      </c>
      <c r="B4019" s="9" t="s">
        <v>2389</v>
      </c>
      <c r="C4019" s="76">
        <v>44649</v>
      </c>
      <c r="D4019" s="264"/>
      <c r="E4019" s="157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8</v>
      </c>
      <c r="L4019" s="78"/>
      <c r="M4019" s="80"/>
      <c r="N4019" s="282"/>
      <c r="O4019" s="81"/>
    </row>
    <row r="4020" spans="1:15" hidden="1" x14ac:dyDescent="0.35">
      <c r="A4020" s="249" t="s">
        <v>2622</v>
      </c>
      <c r="B4020" s="9" t="s">
        <v>1240</v>
      </c>
      <c r="C4020" s="76">
        <v>44698</v>
      </c>
      <c r="D4020" s="264"/>
      <c r="E4020" s="250" t="s">
        <v>99</v>
      </c>
      <c r="F4020" s="77">
        <v>600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282"/>
      <c r="O4020" s="81"/>
    </row>
    <row r="4021" spans="1:15" hidden="1" x14ac:dyDescent="0.35">
      <c r="A4021" s="249" t="s">
        <v>2622</v>
      </c>
      <c r="B4021" s="9" t="s">
        <v>1240</v>
      </c>
      <c r="C4021" s="76">
        <v>44698</v>
      </c>
      <c r="D4021" s="264"/>
      <c r="E4021" s="250" t="s">
        <v>28</v>
      </c>
      <c r="F4021" s="77">
        <v>600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282"/>
      <c r="O4021" s="81"/>
    </row>
    <row r="4022" spans="1:15" hidden="1" x14ac:dyDescent="0.35">
      <c r="A4022" s="249" t="s">
        <v>2622</v>
      </c>
      <c r="B4022" s="150" t="s">
        <v>1240</v>
      </c>
      <c r="C4022" s="76">
        <v>44698</v>
      </c>
      <c r="D4022" s="264"/>
      <c r="E4022" s="250" t="s">
        <v>25</v>
      </c>
      <c r="F4022" s="77">
        <v>600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82"/>
      <c r="O4022" s="81"/>
    </row>
    <row r="4023" spans="1:15" hidden="1" x14ac:dyDescent="0.35">
      <c r="A4023" s="249" t="s">
        <v>2661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2661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2661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2661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2662</v>
      </c>
      <c r="B4027" s="151" t="s">
        <v>2222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2662</v>
      </c>
      <c r="B4028" s="151" t="s">
        <v>2222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2662</v>
      </c>
      <c r="B4029" s="151" t="s">
        <v>2222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2662</v>
      </c>
      <c r="B4030" s="151" t="s">
        <v>2222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2736</v>
      </c>
      <c r="B4031" s="151" t="s">
        <v>772</v>
      </c>
      <c r="C4031" s="76">
        <v>44739</v>
      </c>
      <c r="D4031" s="235"/>
      <c r="E4031" s="250" t="s">
        <v>28</v>
      </c>
      <c r="F4031" s="77">
        <v>600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7</v>
      </c>
      <c r="L4031" s="78"/>
      <c r="M4031" s="80"/>
      <c r="N4031" s="324"/>
      <c r="O4031" s="251" t="s">
        <v>1074</v>
      </c>
    </row>
    <row r="4032" spans="1:15" hidden="1" x14ac:dyDescent="0.35">
      <c r="A4032" s="249" t="s">
        <v>2490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35">
      <c r="A4033" s="249" t="s">
        <v>2748</v>
      </c>
      <c r="B4033" s="151" t="s">
        <v>582</v>
      </c>
      <c r="C4033" s="76">
        <v>44742</v>
      </c>
      <c r="D4033" s="235"/>
      <c r="E4033" s="250" t="s">
        <v>28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324"/>
      <c r="O4033" s="251" t="s">
        <v>1074</v>
      </c>
    </row>
    <row r="4034" spans="1:15" hidden="1" x14ac:dyDescent="0.35">
      <c r="A4034" s="249" t="s">
        <v>2293</v>
      </c>
      <c r="B4034" s="151" t="s">
        <v>461</v>
      </c>
      <c r="C4034" s="76">
        <v>44626</v>
      </c>
      <c r="D4034" s="235"/>
      <c r="E4034" s="250" t="s">
        <v>28</v>
      </c>
      <c r="F4034" s="77">
        <v>1200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hidden="1" x14ac:dyDescent="0.35">
      <c r="A4035" s="249" t="s">
        <v>2757</v>
      </c>
      <c r="B4035" s="151" t="s">
        <v>2080</v>
      </c>
      <c r="C4035" s="76">
        <v>44749</v>
      </c>
      <c r="D4035" s="235"/>
      <c r="E4035" s="250" t="s">
        <v>39</v>
      </c>
      <c r="F4035" s="77">
        <v>600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324"/>
      <c r="O4035" s="251" t="s">
        <v>1074</v>
      </c>
    </row>
    <row r="4036" spans="1:15" hidden="1" x14ac:dyDescent="0.35">
      <c r="A4036" s="249" t="s">
        <v>2489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hidden="1" x14ac:dyDescent="0.35">
      <c r="A4037" s="249" t="s">
        <v>2757</v>
      </c>
      <c r="B4037" s="151" t="s">
        <v>2080</v>
      </c>
      <c r="C4037" s="76">
        <v>44749</v>
      </c>
      <c r="D4037" s="235"/>
      <c r="E4037" s="250" t="s">
        <v>28</v>
      </c>
      <c r="F4037" s="77">
        <v>1200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0</v>
      </c>
      <c r="L4037" s="78"/>
      <c r="M4037" s="80"/>
      <c r="N4037" s="324"/>
      <c r="O4037" s="251" t="s">
        <v>1074</v>
      </c>
    </row>
    <row r="4038" spans="1:15" hidden="1" x14ac:dyDescent="0.35">
      <c r="A4038" s="249" t="s">
        <v>2606</v>
      </c>
      <c r="B4038" s="9" t="s">
        <v>2605</v>
      </c>
      <c r="C4038" s="76">
        <v>44694</v>
      </c>
      <c r="D4038" s="264"/>
      <c r="E4038" s="250" t="s">
        <v>28</v>
      </c>
      <c r="F4038" s="77">
        <v>600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0</v>
      </c>
      <c r="L4038" s="78"/>
      <c r="M4038" s="80"/>
      <c r="N4038" s="282"/>
      <c r="O4038" s="81"/>
    </row>
    <row r="4039" spans="1:15" hidden="1" x14ac:dyDescent="0.35">
      <c r="A4039" s="249" t="s">
        <v>2619</v>
      </c>
      <c r="B4039" s="9" t="s">
        <v>2519</v>
      </c>
      <c r="C4039" s="76">
        <v>44697</v>
      </c>
      <c r="D4039" s="264"/>
      <c r="E4039" s="250" t="s">
        <v>28</v>
      </c>
      <c r="F4039" s="77">
        <v>600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282"/>
      <c r="O4039" s="251"/>
    </row>
    <row r="4040" spans="1:15" hidden="1" x14ac:dyDescent="0.35">
      <c r="A4040" s="249" t="s">
        <v>2670</v>
      </c>
      <c r="B4040" s="9" t="s">
        <v>2536</v>
      </c>
      <c r="C4040" s="76">
        <v>44714</v>
      </c>
      <c r="D4040" s="264"/>
      <c r="E4040" s="250" t="s">
        <v>28</v>
      </c>
      <c r="F4040" s="77">
        <v>600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4"/>
      <c r="O4040" s="81"/>
    </row>
    <row r="4041" spans="1:15" hidden="1" x14ac:dyDescent="0.35">
      <c r="A4041" s="249" t="s">
        <v>2690</v>
      </c>
      <c r="B4041" s="250" t="s">
        <v>1510</v>
      </c>
      <c r="C4041" s="76">
        <v>44721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4"/>
      <c r="O4041" s="251" t="s">
        <v>1074</v>
      </c>
    </row>
    <row r="4042" spans="1:15" hidden="1" x14ac:dyDescent="0.35">
      <c r="A4042" s="249" t="s">
        <v>2690</v>
      </c>
      <c r="B4042" s="250" t="s">
        <v>1510</v>
      </c>
      <c r="C4042" s="76">
        <v>44721</v>
      </c>
      <c r="D4042" s="180"/>
      <c r="E4042" s="161" t="s">
        <v>25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3</v>
      </c>
      <c r="L4042" s="78"/>
      <c r="M4042" s="80"/>
      <c r="N4042" s="324"/>
      <c r="O4042" s="251" t="s">
        <v>1074</v>
      </c>
    </row>
    <row r="4043" spans="1:15" hidden="1" x14ac:dyDescent="0.35">
      <c r="A4043" s="249" t="s">
        <v>2674</v>
      </c>
      <c r="B4043" s="151" t="s">
        <v>2222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4"/>
      <c r="O4043" s="251" t="s">
        <v>1074</v>
      </c>
    </row>
    <row r="4044" spans="1:15" hidden="1" x14ac:dyDescent="0.35">
      <c r="A4044" s="249" t="s">
        <v>2674</v>
      </c>
      <c r="B4044" s="151" t="s">
        <v>2222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4"/>
      <c r="O4044" s="251" t="s">
        <v>1074</v>
      </c>
    </row>
    <row r="4045" spans="1:15" hidden="1" x14ac:dyDescent="0.35">
      <c r="A4045" s="249" t="s">
        <v>2674</v>
      </c>
      <c r="B4045" s="151" t="s">
        <v>2222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4"/>
      <c r="O4045" s="251" t="s">
        <v>1074</v>
      </c>
    </row>
    <row r="4046" spans="1:15" hidden="1" x14ac:dyDescent="0.35">
      <c r="A4046" s="249" t="s">
        <v>2674</v>
      </c>
      <c r="B4046" s="151" t="s">
        <v>2222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4"/>
      <c r="O4046" s="251" t="s">
        <v>1074</v>
      </c>
    </row>
    <row r="4047" spans="1:15" hidden="1" x14ac:dyDescent="0.35">
      <c r="A4047" s="249" t="s">
        <v>2690</v>
      </c>
      <c r="B4047" s="250" t="s">
        <v>1510</v>
      </c>
      <c r="C4047" s="76">
        <v>44721</v>
      </c>
      <c r="D4047" s="180"/>
      <c r="E4047" s="86" t="s">
        <v>39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4"/>
      <c r="O4047" s="251" t="s">
        <v>1074</v>
      </c>
    </row>
    <row r="4048" spans="1:15" hidden="1" x14ac:dyDescent="0.35">
      <c r="A4048" s="249" t="s">
        <v>2731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4"/>
      <c r="O4048" s="251" t="s">
        <v>1074</v>
      </c>
    </row>
    <row r="4049" spans="1:15" hidden="1" x14ac:dyDescent="0.35">
      <c r="A4049" s="249" t="s">
        <v>2731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5"/>
      <c r="O4049" s="262" t="s">
        <v>1074</v>
      </c>
    </row>
    <row r="4050" spans="1:15" hidden="1" x14ac:dyDescent="0.35">
      <c r="A4050" s="249" t="s">
        <v>2731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4"/>
      <c r="O4050" s="251" t="s">
        <v>1074</v>
      </c>
    </row>
    <row r="4051" spans="1:15" hidden="1" x14ac:dyDescent="0.35">
      <c r="A4051" s="249" t="s">
        <v>2731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4"/>
      <c r="O4051" s="251" t="s">
        <v>1074</v>
      </c>
    </row>
    <row r="4052" spans="1:15" hidden="1" x14ac:dyDescent="0.35">
      <c r="A4052" s="249" t="s">
        <v>2690</v>
      </c>
      <c r="B4052" s="250" t="s">
        <v>1510</v>
      </c>
      <c r="C4052" s="76">
        <v>44721</v>
      </c>
      <c r="D4052" s="180"/>
      <c r="E4052" s="161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1</v>
      </c>
      <c r="L4052" s="78"/>
      <c r="M4052" s="80"/>
      <c r="N4052" s="324"/>
      <c r="O4052" s="251" t="s">
        <v>1074</v>
      </c>
    </row>
    <row r="4053" spans="1:15" hidden="1" x14ac:dyDescent="0.35">
      <c r="A4053" s="249" t="s">
        <v>2760</v>
      </c>
      <c r="B4053" s="151" t="s">
        <v>1438</v>
      </c>
      <c r="C4053" s="76">
        <v>44749</v>
      </c>
      <c r="D4053" s="180"/>
      <c r="E4053" s="86" t="s">
        <v>39</v>
      </c>
      <c r="F4053" s="88">
        <v>240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324"/>
      <c r="O4053" s="251" t="s">
        <v>1074</v>
      </c>
    </row>
    <row r="4054" spans="1:15" hidden="1" x14ac:dyDescent="0.35">
      <c r="A4054" s="249" t="s">
        <v>2760</v>
      </c>
      <c r="B4054" s="326" t="s">
        <v>1438</v>
      </c>
      <c r="C4054" s="76">
        <v>44749</v>
      </c>
      <c r="D4054" s="180"/>
      <c r="E4054" s="86" t="s">
        <v>28</v>
      </c>
      <c r="F4054" s="88">
        <v>240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324"/>
      <c r="O4054" s="251" t="s">
        <v>1074</v>
      </c>
    </row>
    <row r="4055" spans="1:15" hidden="1" x14ac:dyDescent="0.35">
      <c r="A4055" s="249" t="s">
        <v>2693</v>
      </c>
      <c r="B4055" s="322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4"/>
      <c r="O4055" s="251" t="s">
        <v>1074</v>
      </c>
    </row>
    <row r="4056" spans="1:15" hidden="1" x14ac:dyDescent="0.35">
      <c r="A4056" s="249" t="s">
        <v>2693</v>
      </c>
      <c r="B4056" s="322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4"/>
      <c r="O4056" s="251" t="s">
        <v>1074</v>
      </c>
    </row>
    <row r="4057" spans="1:15" hidden="1" x14ac:dyDescent="0.35">
      <c r="A4057" s="249" t="s">
        <v>2693</v>
      </c>
      <c r="B4057" s="322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4"/>
      <c r="O4057" s="251" t="s">
        <v>1074</v>
      </c>
    </row>
    <row r="4058" spans="1:15" hidden="1" x14ac:dyDescent="0.35">
      <c r="A4058" s="249" t="s">
        <v>2693</v>
      </c>
      <c r="B4058" s="322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4"/>
      <c r="O4058" s="251" t="s">
        <v>1074</v>
      </c>
    </row>
    <row r="4059" spans="1:15" hidden="1" x14ac:dyDescent="0.35">
      <c r="A4059" s="249" t="s">
        <v>2760</v>
      </c>
      <c r="B4059" s="151" t="s">
        <v>1438</v>
      </c>
      <c r="C4059" s="76">
        <v>44749</v>
      </c>
      <c r="D4059" s="180"/>
      <c r="E4059" s="86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324"/>
      <c r="O4059" s="251" t="s">
        <v>1074</v>
      </c>
    </row>
    <row r="4060" spans="1:15" hidden="1" x14ac:dyDescent="0.35">
      <c r="A4060" s="249" t="s">
        <v>2760</v>
      </c>
      <c r="B4060" s="151" t="s">
        <v>1438</v>
      </c>
      <c r="C4060" s="76">
        <v>44749</v>
      </c>
      <c r="D4060" s="180"/>
      <c r="E4060" s="86" t="s">
        <v>18</v>
      </c>
      <c r="F4060" s="88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324"/>
      <c r="O4060" s="251" t="s">
        <v>1074</v>
      </c>
    </row>
    <row r="4061" spans="1:15" hidden="1" x14ac:dyDescent="0.35">
      <c r="A4061" s="249" t="s">
        <v>2549</v>
      </c>
      <c r="B4061" s="9" t="s">
        <v>2548</v>
      </c>
      <c r="C4061" s="76">
        <v>44684</v>
      </c>
      <c r="D4061" s="264"/>
      <c r="E4061" s="161" t="s">
        <v>28</v>
      </c>
      <c r="F4061" s="88">
        <v>240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hidden="1" x14ac:dyDescent="0.35">
      <c r="A4062" s="249" t="s">
        <v>2549</v>
      </c>
      <c r="B4062" s="9" t="s">
        <v>2548</v>
      </c>
      <c r="C4062" s="76">
        <v>44684</v>
      </c>
      <c r="D4062" s="264"/>
      <c r="E4062" s="161" t="s">
        <v>39</v>
      </c>
      <c r="F4062" s="88">
        <v>240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282"/>
      <c r="O4062" s="81"/>
    </row>
    <row r="4063" spans="1:15" hidden="1" x14ac:dyDescent="0.35">
      <c r="A4063" s="249" t="s">
        <v>2681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4"/>
      <c r="O4063" s="251" t="s">
        <v>1074</v>
      </c>
    </row>
    <row r="4064" spans="1:15" hidden="1" x14ac:dyDescent="0.35">
      <c r="A4064" s="249" t="s">
        <v>2681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4"/>
      <c r="O4064" s="251" t="s">
        <v>1074</v>
      </c>
    </row>
    <row r="4065" spans="1:15" hidden="1" x14ac:dyDescent="0.35">
      <c r="A4065" s="249" t="s">
        <v>2681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4"/>
      <c r="O4065" s="251" t="s">
        <v>1074</v>
      </c>
    </row>
    <row r="4066" spans="1:15" hidden="1" x14ac:dyDescent="0.35">
      <c r="A4066" s="249" t="s">
        <v>2681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4"/>
      <c r="O4066" s="251" t="s">
        <v>1074</v>
      </c>
    </row>
    <row r="4067" spans="1:15" hidden="1" x14ac:dyDescent="0.35">
      <c r="A4067" s="249" t="s">
        <v>2650</v>
      </c>
      <c r="B4067" s="250" t="s">
        <v>2590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2650</v>
      </c>
      <c r="B4068" s="250" t="s">
        <v>2590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2650</v>
      </c>
      <c r="B4069" s="250" t="s">
        <v>2590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2650</v>
      </c>
      <c r="B4070" s="250" t="s">
        <v>2590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2650</v>
      </c>
      <c r="B4071" s="250" t="s">
        <v>2590</v>
      </c>
      <c r="C4071" s="76">
        <v>44691</v>
      </c>
      <c r="D4071" s="264"/>
      <c r="E4071" s="250" t="s">
        <v>2629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2676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4"/>
      <c r="O4072" s="251" t="s">
        <v>1074</v>
      </c>
    </row>
    <row r="4073" spans="1:15" hidden="1" x14ac:dyDescent="0.35">
      <c r="A4073" s="249" t="s">
        <v>2676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4"/>
      <c r="O4073" s="251" t="s">
        <v>1074</v>
      </c>
    </row>
    <row r="4074" spans="1:15" hidden="1" x14ac:dyDescent="0.35">
      <c r="A4074" s="249" t="s">
        <v>2650</v>
      </c>
      <c r="B4074" s="250" t="s">
        <v>2590</v>
      </c>
      <c r="C4074" s="76">
        <v>44691</v>
      </c>
      <c r="D4074" s="264"/>
      <c r="E4074" s="250" t="s">
        <v>2630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2650</v>
      </c>
      <c r="B4075" s="250" t="s">
        <v>2590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2650</v>
      </c>
      <c r="B4076" s="250" t="s">
        <v>2590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2707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4"/>
      <c r="O4077" s="251" t="s">
        <v>1074</v>
      </c>
    </row>
    <row r="4078" spans="1:15" hidden="1" x14ac:dyDescent="0.35">
      <c r="A4078" s="249" t="s">
        <v>2707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4"/>
      <c r="O4078" s="251" t="s">
        <v>1074</v>
      </c>
    </row>
    <row r="4079" spans="1:15" hidden="1" x14ac:dyDescent="0.35">
      <c r="A4079" s="249" t="s">
        <v>2679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4"/>
      <c r="O4079" s="251" t="s">
        <v>1074</v>
      </c>
    </row>
    <row r="4080" spans="1:15" hidden="1" x14ac:dyDescent="0.35">
      <c r="A4080" s="249" t="s">
        <v>2679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4"/>
      <c r="O4080" s="251" t="s">
        <v>1074</v>
      </c>
    </row>
    <row r="4081" spans="1:15" hidden="1" x14ac:dyDescent="0.35">
      <c r="A4081" s="249" t="s">
        <v>2707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4"/>
      <c r="O4081" s="251" t="s">
        <v>1074</v>
      </c>
    </row>
    <row r="4082" spans="1:15" hidden="1" x14ac:dyDescent="0.35">
      <c r="A4082" s="249" t="s">
        <v>2650</v>
      </c>
      <c r="B4082" s="250" t="s">
        <v>2590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2650</v>
      </c>
      <c r="B4083" s="250" t="s">
        <v>2590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35">
      <c r="A4084" s="249" t="s">
        <v>2549</v>
      </c>
      <c r="B4084" s="9" t="s">
        <v>2548</v>
      </c>
      <c r="C4084" s="76">
        <v>44684</v>
      </c>
      <c r="D4084" s="264"/>
      <c r="E4084" s="86" t="s">
        <v>25</v>
      </c>
      <c r="F4084" s="88">
        <v>360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81"/>
    </row>
    <row r="4085" spans="1:15" hidden="1" x14ac:dyDescent="0.35">
      <c r="A4085" s="249" t="s">
        <v>2549</v>
      </c>
      <c r="B4085" s="9" t="s">
        <v>2548</v>
      </c>
      <c r="C4085" s="76">
        <v>44684</v>
      </c>
      <c r="D4085" s="264"/>
      <c r="E4085" s="161" t="s">
        <v>18</v>
      </c>
      <c r="F4085" s="88">
        <v>360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282"/>
      <c r="O4085" s="81"/>
    </row>
    <row r="4086" spans="1:15" hidden="1" x14ac:dyDescent="0.35">
      <c r="A4086" s="249" t="s">
        <v>2769</v>
      </c>
      <c r="B4086" s="9" t="s">
        <v>234</v>
      </c>
      <c r="C4086" s="76">
        <v>44734</v>
      </c>
      <c r="D4086" s="264"/>
      <c r="E4086" s="261" t="s">
        <v>28</v>
      </c>
      <c r="F4086" s="77">
        <v>600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4"/>
      <c r="O4086" s="81"/>
    </row>
    <row r="4087" spans="1:15" hidden="1" x14ac:dyDescent="0.35">
      <c r="A4087" s="249" t="s">
        <v>2769</v>
      </c>
      <c r="B4087" s="150" t="s">
        <v>234</v>
      </c>
      <c r="C4087" s="76">
        <v>44734</v>
      </c>
      <c r="D4087" s="264"/>
      <c r="E4087" s="261" t="s">
        <v>39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4"/>
      <c r="O4087" s="81"/>
    </row>
    <row r="4088" spans="1:15" x14ac:dyDescent="0.35">
      <c r="A4088" s="249" t="s">
        <v>2768</v>
      </c>
      <c r="B4088" s="150" t="s">
        <v>234</v>
      </c>
      <c r="C4088" s="76">
        <v>44754</v>
      </c>
      <c r="D4088" s="264"/>
      <c r="E4088" s="261" t="s">
        <v>28</v>
      </c>
      <c r="F4088" s="77">
        <v>600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4"/>
      <c r="O4088" s="81"/>
    </row>
    <row r="4089" spans="1:15" hidden="1" x14ac:dyDescent="0.35">
      <c r="A4089" s="249" t="s">
        <v>2206</v>
      </c>
      <c r="B4089" s="150" t="s">
        <v>2137</v>
      </c>
      <c r="C4089" s="76">
        <v>44554</v>
      </c>
      <c r="D4089" s="264"/>
      <c r="E4089" s="250" t="s">
        <v>18</v>
      </c>
      <c r="F4089" s="77">
        <v>600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265"/>
      <c r="O4089" s="251"/>
    </row>
    <row r="4090" spans="1:15" hidden="1" x14ac:dyDescent="0.35">
      <c r="A4090" s="249" t="s">
        <v>2206</v>
      </c>
      <c r="B4090" s="150" t="s">
        <v>2137</v>
      </c>
      <c r="C4090" s="76">
        <v>44554</v>
      </c>
      <c r="D4090" s="264"/>
      <c r="E4090" s="250" t="s">
        <v>79</v>
      </c>
      <c r="F4090" s="77">
        <v>600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265"/>
      <c r="O4090" s="81"/>
    </row>
    <row r="4091" spans="1:15" hidden="1" x14ac:dyDescent="0.35">
      <c r="A4091" s="249" t="s">
        <v>2206</v>
      </c>
      <c r="B4091" s="9" t="s">
        <v>2137</v>
      </c>
      <c r="C4091" s="76">
        <v>44554</v>
      </c>
      <c r="D4091" s="264"/>
      <c r="E4091" s="250" t="s">
        <v>39</v>
      </c>
      <c r="F4091" s="77">
        <v>600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265"/>
      <c r="O4091" s="81"/>
    </row>
    <row r="4092" spans="1:15" hidden="1" x14ac:dyDescent="0.35">
      <c r="A4092" s="249" t="s">
        <v>2719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4"/>
      <c r="O4092" s="251" t="s">
        <v>1074</v>
      </c>
    </row>
    <row r="4093" spans="1:15" hidden="1" x14ac:dyDescent="0.35">
      <c r="A4093" s="249" t="s">
        <v>2719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4"/>
      <c r="O4093" s="251" t="s">
        <v>1074</v>
      </c>
    </row>
    <row r="4094" spans="1:15" hidden="1" x14ac:dyDescent="0.35">
      <c r="A4094" s="249" t="s">
        <v>2719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4"/>
      <c r="O4094" s="251" t="s">
        <v>1074</v>
      </c>
    </row>
    <row r="4095" spans="1:15" hidden="1" x14ac:dyDescent="0.35">
      <c r="A4095" s="249" t="s">
        <v>2683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4"/>
      <c r="O4095" s="251" t="s">
        <v>1074</v>
      </c>
    </row>
    <row r="4096" spans="1:15" hidden="1" x14ac:dyDescent="0.35">
      <c r="A4096" s="249" t="s">
        <v>2719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4"/>
      <c r="O4096" s="251" t="s">
        <v>1074</v>
      </c>
    </row>
    <row r="4097" spans="1:15" hidden="1" x14ac:dyDescent="0.35">
      <c r="A4097" s="249" t="s">
        <v>2732</v>
      </c>
      <c r="B4097" s="322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4"/>
      <c r="O4097" s="251" t="s">
        <v>1074</v>
      </c>
    </row>
    <row r="4098" spans="1:15" hidden="1" x14ac:dyDescent="0.35">
      <c r="A4098" s="249" t="s">
        <v>2732</v>
      </c>
      <c r="B4098" s="322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4"/>
      <c r="O4098" s="251" t="s">
        <v>1074</v>
      </c>
    </row>
    <row r="4099" spans="1:15" hidden="1" x14ac:dyDescent="0.35">
      <c r="A4099" s="249" t="s">
        <v>2732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4"/>
      <c r="O4099" s="251" t="s">
        <v>1074</v>
      </c>
    </row>
    <row r="4100" spans="1:15" hidden="1" x14ac:dyDescent="0.35">
      <c r="A4100" s="249" t="s">
        <v>2732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4"/>
      <c r="O4100" s="251" t="s">
        <v>1074</v>
      </c>
    </row>
    <row r="4101" spans="1:15" hidden="1" x14ac:dyDescent="0.35">
      <c r="A4101" s="249" t="s">
        <v>2737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4"/>
      <c r="O4101" s="251" t="s">
        <v>1074</v>
      </c>
    </row>
    <row r="4102" spans="1:15" hidden="1" x14ac:dyDescent="0.35">
      <c r="A4102" s="249" t="s">
        <v>2737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4"/>
      <c r="O4102" s="251" t="s">
        <v>1074</v>
      </c>
    </row>
    <row r="4103" spans="1:15" hidden="1" x14ac:dyDescent="0.35">
      <c r="A4103" s="249" t="s">
        <v>2737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4"/>
      <c r="O4103" s="251" t="s">
        <v>1074</v>
      </c>
    </row>
    <row r="4104" spans="1:15" hidden="1" x14ac:dyDescent="0.35">
      <c r="A4104" s="249" t="s">
        <v>2737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4"/>
      <c r="O4104" s="251" t="s">
        <v>1074</v>
      </c>
    </row>
    <row r="4105" spans="1:15" hidden="1" x14ac:dyDescent="0.35">
      <c r="A4105" s="249" t="s">
        <v>2206</v>
      </c>
      <c r="B4105" s="150" t="s">
        <v>2137</v>
      </c>
      <c r="C4105" s="76">
        <v>44554</v>
      </c>
      <c r="D4105" s="264"/>
      <c r="E4105" s="250" t="s">
        <v>28</v>
      </c>
      <c r="F4105" s="77">
        <v>600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265"/>
      <c r="O4105" s="81"/>
    </row>
    <row r="4106" spans="1:15" hidden="1" x14ac:dyDescent="0.35">
      <c r="A4106" s="249" t="s">
        <v>2424</v>
      </c>
      <c r="B4106" s="321" t="s">
        <v>1070</v>
      </c>
      <c r="C4106" s="76">
        <v>44655</v>
      </c>
      <c r="D4106" s="180"/>
      <c r="E4106" s="261" t="s">
        <v>79</v>
      </c>
      <c r="F4106" s="77">
        <v>600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15</v>
      </c>
      <c r="L4106" s="78"/>
      <c r="M4106" s="80"/>
      <c r="N4106" s="282"/>
      <c r="O4106" s="81"/>
    </row>
    <row r="4107" spans="1:15" x14ac:dyDescent="0.35">
      <c r="A4107" s="249" t="s">
        <v>2755</v>
      </c>
      <c r="B4107" s="322" t="s">
        <v>1070</v>
      </c>
      <c r="C4107" s="76">
        <v>44749</v>
      </c>
      <c r="D4107" s="180"/>
      <c r="E4107" s="261" t="s">
        <v>18</v>
      </c>
      <c r="F4107" s="77">
        <v>600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1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4"/>
      <c r="O4107" s="81"/>
    </row>
    <row r="4108" spans="1:15" x14ac:dyDescent="0.35">
      <c r="A4108" s="249" t="s">
        <v>2715</v>
      </c>
      <c r="B4108" s="151" t="s">
        <v>1070</v>
      </c>
      <c r="C4108" s="76">
        <v>44731</v>
      </c>
      <c r="D4108" s="180"/>
      <c r="E4108" s="261" t="s">
        <v>39</v>
      </c>
      <c r="F4108" s="77">
        <v>600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4"/>
      <c r="O4108" s="81"/>
    </row>
    <row r="4109" spans="1:15" x14ac:dyDescent="0.35">
      <c r="A4109" s="249" t="s">
        <v>2730</v>
      </c>
      <c r="B4109" s="151" t="s">
        <v>1070</v>
      </c>
      <c r="C4109" s="76">
        <v>44736</v>
      </c>
      <c r="D4109" s="235"/>
      <c r="E4109" s="157" t="s">
        <v>28</v>
      </c>
      <c r="F4109" s="77">
        <v>600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41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324"/>
      <c r="O4109" s="81"/>
    </row>
    <row r="4110" spans="1:15" hidden="1" x14ac:dyDescent="0.35">
      <c r="A4110" s="249" t="s">
        <v>2417</v>
      </c>
      <c r="B4110" s="9" t="s">
        <v>2202</v>
      </c>
      <c r="C4110" s="76">
        <v>44655</v>
      </c>
      <c r="D4110" s="180"/>
      <c r="E4110" s="86" t="s">
        <v>25</v>
      </c>
      <c r="F4110" s="88">
        <v>360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hidden="1" x14ac:dyDescent="0.35">
      <c r="A4111" s="249" t="s">
        <v>2417</v>
      </c>
      <c r="B4111" s="9" t="s">
        <v>2202</v>
      </c>
      <c r="C4111" s="76">
        <v>44655</v>
      </c>
      <c r="D4111" s="180"/>
      <c r="E4111" s="161" t="s">
        <v>28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3</v>
      </c>
      <c r="L4111" s="78"/>
      <c r="M4111" s="80"/>
      <c r="N4111" s="282"/>
      <c r="O4111" s="81"/>
    </row>
    <row r="4112" spans="1:15" hidden="1" x14ac:dyDescent="0.35">
      <c r="A4112" s="249" t="s">
        <v>2691</v>
      </c>
      <c r="B4112" s="151" t="s">
        <v>2222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4"/>
      <c r="O4112" s="251" t="s">
        <v>1074</v>
      </c>
    </row>
    <row r="4113" spans="1:15" hidden="1" x14ac:dyDescent="0.35">
      <c r="A4113" s="249" t="s">
        <v>2691</v>
      </c>
      <c r="B4113" s="151" t="s">
        <v>2222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4"/>
      <c r="O4113" s="251" t="s">
        <v>1074</v>
      </c>
    </row>
    <row r="4114" spans="1:15" hidden="1" x14ac:dyDescent="0.35">
      <c r="A4114" s="249" t="s">
        <v>2691</v>
      </c>
      <c r="B4114" s="151" t="s">
        <v>2222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4"/>
      <c r="O4114" s="251" t="s">
        <v>1074</v>
      </c>
    </row>
    <row r="4115" spans="1:15" hidden="1" x14ac:dyDescent="0.35">
      <c r="A4115" s="249" t="s">
        <v>2691</v>
      </c>
      <c r="B4115" s="151" t="s">
        <v>2222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4"/>
      <c r="O4115" s="251" t="s">
        <v>1074</v>
      </c>
    </row>
    <row r="4116" spans="1:15" hidden="1" x14ac:dyDescent="0.35">
      <c r="A4116" s="249" t="s">
        <v>2417</v>
      </c>
      <c r="B4116" s="9" t="s">
        <v>2202</v>
      </c>
      <c r="C4116" s="76">
        <v>44655</v>
      </c>
      <c r="D4116" s="180"/>
      <c r="E4116" s="161" t="s">
        <v>39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16</v>
      </c>
      <c r="L4116" s="78"/>
      <c r="M4116" s="80"/>
      <c r="N4116" s="282"/>
      <c r="O4116" s="81"/>
    </row>
    <row r="4117" spans="1:15" hidden="1" x14ac:dyDescent="0.35">
      <c r="A4117" s="249" t="s">
        <v>2417</v>
      </c>
      <c r="B4117" s="9" t="s">
        <v>2202</v>
      </c>
      <c r="C4117" s="76">
        <v>44655</v>
      </c>
      <c r="D4117" s="180"/>
      <c r="E4117" s="161" t="s">
        <v>18</v>
      </c>
      <c r="F4117" s="72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282"/>
      <c r="O4117" s="81"/>
    </row>
    <row r="4118" spans="1:15" x14ac:dyDescent="0.35">
      <c r="A4118" s="249" t="s">
        <v>2722</v>
      </c>
      <c r="B4118" s="161" t="s">
        <v>1600</v>
      </c>
      <c r="C4118" s="76">
        <v>44734</v>
      </c>
      <c r="D4118" s="180"/>
      <c r="E4118" s="261" t="s">
        <v>25</v>
      </c>
      <c r="F4118" s="88">
        <v>360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1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324"/>
      <c r="O4118" s="81"/>
    </row>
    <row r="4119" spans="1:15" hidden="1" x14ac:dyDescent="0.35">
      <c r="A4119" s="249" t="s">
        <v>2722</v>
      </c>
      <c r="B4119" s="161" t="s">
        <v>1600</v>
      </c>
      <c r="C4119" s="76">
        <v>44734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0</v>
      </c>
      <c r="L4119" s="78"/>
      <c r="M4119" s="80"/>
      <c r="N4119" s="324"/>
      <c r="O4119" s="81"/>
    </row>
    <row r="4120" spans="1:15" hidden="1" x14ac:dyDescent="0.35">
      <c r="A4120" s="249" t="s">
        <v>2692</v>
      </c>
      <c r="B4120" s="151" t="s">
        <v>2080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4"/>
      <c r="O4120" s="251" t="s">
        <v>1074</v>
      </c>
    </row>
    <row r="4121" spans="1:15" hidden="1" x14ac:dyDescent="0.35">
      <c r="A4121" s="249" t="s">
        <v>2722</v>
      </c>
      <c r="B4121" s="161" t="s">
        <v>1600</v>
      </c>
      <c r="C4121" s="76">
        <v>44734</v>
      </c>
      <c r="D4121" s="180"/>
      <c r="E4121" s="86" t="s">
        <v>18</v>
      </c>
      <c r="F4121" s="88">
        <v>360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0</v>
      </c>
      <c r="L4121" s="78"/>
      <c r="M4121" s="80"/>
      <c r="N4121" s="324"/>
      <c r="O4121" s="81"/>
    </row>
    <row r="4122" spans="1:15" hidden="1" x14ac:dyDescent="0.35">
      <c r="A4122" s="249" t="s">
        <v>2722</v>
      </c>
      <c r="B4122" s="161" t="s">
        <v>1600</v>
      </c>
      <c r="C4122" s="76">
        <v>44734</v>
      </c>
      <c r="D4122" s="180"/>
      <c r="E4122" s="161" t="s">
        <v>39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324"/>
      <c r="O4122" s="81"/>
    </row>
    <row r="4123" spans="1:15" hidden="1" x14ac:dyDescent="0.35">
      <c r="A4123" s="249" t="s">
        <v>2639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hidden="1" x14ac:dyDescent="0.35">
      <c r="A4124" s="249" t="s">
        <v>2199</v>
      </c>
      <c r="B4124" s="9" t="s">
        <v>2116</v>
      </c>
      <c r="C4124" s="76">
        <v>44572</v>
      </c>
      <c r="D4124" s="235"/>
      <c r="E4124" s="250" t="s">
        <v>18</v>
      </c>
      <c r="F4124" s="77">
        <v>360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65"/>
      <c r="O4124" s="81"/>
    </row>
    <row r="4125" spans="1:15" hidden="1" x14ac:dyDescent="0.35">
      <c r="A4125" s="249" t="s">
        <v>2627</v>
      </c>
      <c r="B4125" s="151" t="s">
        <v>478</v>
      </c>
      <c r="C4125" s="76">
        <v>44700</v>
      </c>
      <c r="D4125" s="235"/>
      <c r="E4125" s="250" t="s">
        <v>39</v>
      </c>
      <c r="F4125" s="77">
        <v>480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0</v>
      </c>
      <c r="L4125" s="78"/>
      <c r="M4125" s="80"/>
      <c r="N4125" s="282"/>
      <c r="O4125" s="81"/>
    </row>
    <row r="4126" spans="1:15" hidden="1" x14ac:dyDescent="0.35">
      <c r="A4126" s="249" t="s">
        <v>2627</v>
      </c>
      <c r="B4126" s="151" t="s">
        <v>478</v>
      </c>
      <c r="C4126" s="76">
        <v>44700</v>
      </c>
      <c r="D4126" s="235"/>
      <c r="E4126" s="250" t="s">
        <v>25</v>
      </c>
      <c r="F4126" s="77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hidden="1" x14ac:dyDescent="0.35">
      <c r="A4127" s="249" t="s">
        <v>2640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hidden="1" x14ac:dyDescent="0.35">
      <c r="A4128" s="249" t="s">
        <v>2627</v>
      </c>
      <c r="B4128" s="151" t="s">
        <v>478</v>
      </c>
      <c r="C4128" s="76">
        <v>44700</v>
      </c>
      <c r="D4128" s="235"/>
      <c r="E4128" s="157" t="s">
        <v>18</v>
      </c>
      <c r="F4128" s="77">
        <v>480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18</v>
      </c>
      <c r="L4128" s="78"/>
      <c r="M4128" s="80"/>
      <c r="N4128" s="282"/>
      <c r="O4128" s="81"/>
    </row>
    <row r="4129" spans="1:15" hidden="1" x14ac:dyDescent="0.35">
      <c r="A4129" s="249" t="s">
        <v>2696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4"/>
      <c r="O4129" s="251" t="s">
        <v>1074</v>
      </c>
    </row>
    <row r="4130" spans="1:15" hidden="1" x14ac:dyDescent="0.35">
      <c r="A4130" s="249" t="s">
        <v>2696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4"/>
      <c r="O4130" s="251" t="s">
        <v>1074</v>
      </c>
    </row>
    <row r="4131" spans="1:15" hidden="1" x14ac:dyDescent="0.35">
      <c r="A4131" s="249" t="s">
        <v>2741</v>
      </c>
      <c r="B4131" s="261" t="s">
        <v>1601</v>
      </c>
      <c r="C4131" s="76">
        <v>44741</v>
      </c>
      <c r="D4131" s="180"/>
      <c r="E4131" s="86" t="s">
        <v>25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8</v>
      </c>
      <c r="L4131" s="78"/>
      <c r="M4131" s="80"/>
      <c r="N4131" s="324"/>
      <c r="O4131" s="81"/>
    </row>
    <row r="4132" spans="1:15" hidden="1" x14ac:dyDescent="0.35">
      <c r="A4132" s="249" t="s">
        <v>2699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4"/>
      <c r="O4132" s="251" t="s">
        <v>1074</v>
      </c>
    </row>
    <row r="4133" spans="1:15" hidden="1" x14ac:dyDescent="0.35">
      <c r="A4133" s="249" t="s">
        <v>2699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4"/>
      <c r="O4133" s="251" t="s">
        <v>1074</v>
      </c>
    </row>
    <row r="4134" spans="1:15" hidden="1" x14ac:dyDescent="0.35">
      <c r="A4134" s="249" t="s">
        <v>2699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4"/>
      <c r="O4134" s="251" t="s">
        <v>1074</v>
      </c>
    </row>
    <row r="4135" spans="1:15" hidden="1" x14ac:dyDescent="0.35">
      <c r="A4135" s="249" t="s">
        <v>2699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4"/>
      <c r="O4135" s="251" t="s">
        <v>1074</v>
      </c>
    </row>
    <row r="4136" spans="1:15" hidden="1" x14ac:dyDescent="0.35">
      <c r="A4136" s="249" t="s">
        <v>2741</v>
      </c>
      <c r="B4136" s="261" t="s">
        <v>1601</v>
      </c>
      <c r="C4136" s="76">
        <v>44741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4"/>
      <c r="O4136" s="81"/>
    </row>
    <row r="4137" spans="1:15" x14ac:dyDescent="0.35">
      <c r="A4137" s="249" t="s">
        <v>2741</v>
      </c>
      <c r="B4137" s="261" t="s">
        <v>1601</v>
      </c>
      <c r="C4137" s="76">
        <v>44741</v>
      </c>
      <c r="D4137" s="180"/>
      <c r="E4137" s="86" t="s">
        <v>28</v>
      </c>
      <c r="F4137" s="88">
        <v>240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324"/>
      <c r="O4137" s="81"/>
    </row>
    <row r="4138" spans="1:15" hidden="1" x14ac:dyDescent="0.35">
      <c r="A4138" s="249" t="s">
        <v>2741</v>
      </c>
      <c r="B4138" s="261" t="s">
        <v>1601</v>
      </c>
      <c r="C4138" s="76">
        <v>44741</v>
      </c>
      <c r="D4138" s="180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324"/>
      <c r="O4138" s="81"/>
    </row>
    <row r="4139" spans="1:15" hidden="1" x14ac:dyDescent="0.35">
      <c r="A4139" s="249" t="s">
        <v>2566</v>
      </c>
      <c r="B4139" s="151" t="s">
        <v>1643</v>
      </c>
      <c r="C4139" s="76">
        <v>44687</v>
      </c>
      <c r="D4139" s="180"/>
      <c r="E4139" s="161" t="s">
        <v>25</v>
      </c>
      <c r="F4139" s="88">
        <v>360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282"/>
      <c r="O4139" s="81"/>
    </row>
    <row r="4140" spans="1:15" hidden="1" x14ac:dyDescent="0.35">
      <c r="A4140" s="249" t="s">
        <v>2717</v>
      </c>
      <c r="B4140" s="151" t="s">
        <v>2222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4"/>
      <c r="O4140" s="251" t="s">
        <v>1074</v>
      </c>
    </row>
    <row r="4141" spans="1:15" hidden="1" x14ac:dyDescent="0.35">
      <c r="A4141" s="249" t="s">
        <v>2717</v>
      </c>
      <c r="B4141" s="151" t="s">
        <v>2222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4"/>
      <c r="O4141" s="251" t="s">
        <v>1074</v>
      </c>
    </row>
    <row r="4142" spans="1:15" hidden="1" x14ac:dyDescent="0.35">
      <c r="A4142" s="249" t="s">
        <v>2717</v>
      </c>
      <c r="B4142" s="151" t="s">
        <v>2222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4"/>
      <c r="O4142" s="251" t="s">
        <v>1074</v>
      </c>
    </row>
    <row r="4143" spans="1:15" hidden="1" x14ac:dyDescent="0.35">
      <c r="A4143" s="249" t="s">
        <v>2717</v>
      </c>
      <c r="B4143" s="151" t="s">
        <v>2222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4"/>
      <c r="O4143" s="251" t="s">
        <v>1074</v>
      </c>
    </row>
    <row r="4144" spans="1:15" hidden="1" x14ac:dyDescent="0.35">
      <c r="A4144" s="249" t="s">
        <v>2566</v>
      </c>
      <c r="B4144" s="151" t="s">
        <v>1643</v>
      </c>
      <c r="C4144" s="76">
        <v>44687</v>
      </c>
      <c r="D4144" s="180"/>
      <c r="E4144" s="161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282"/>
      <c r="O4144" s="81"/>
    </row>
    <row r="4145" spans="1:15" hidden="1" x14ac:dyDescent="0.35">
      <c r="A4145" s="249" t="s">
        <v>2566</v>
      </c>
      <c r="B4145" s="151" t="s">
        <v>1643</v>
      </c>
      <c r="C4145" s="76">
        <v>44687</v>
      </c>
      <c r="D4145" s="180"/>
      <c r="E4145" s="86" t="s">
        <v>18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hidden="1" x14ac:dyDescent="0.35">
      <c r="A4146" s="249" t="s">
        <v>2566</v>
      </c>
      <c r="B4146" s="261" t="s">
        <v>1643</v>
      </c>
      <c r="C4146" s="76">
        <v>44687</v>
      </c>
      <c r="D4146" s="180"/>
      <c r="E4146" s="86" t="s">
        <v>39</v>
      </c>
      <c r="F4146" s="88">
        <v>240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hidden="1" x14ac:dyDescent="0.35">
      <c r="A4147" s="249" t="s">
        <v>2456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hidden="1" x14ac:dyDescent="0.35">
      <c r="A4148" s="249" t="s">
        <v>2456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hidden="1" x14ac:dyDescent="0.35">
      <c r="A4149" s="249" t="s">
        <v>2461</v>
      </c>
      <c r="B4149" s="9" t="s">
        <v>2460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hidden="1" x14ac:dyDescent="0.35">
      <c r="A4150" s="249" t="s">
        <v>2677</v>
      </c>
      <c r="B4150" s="313" t="s">
        <v>2590</v>
      </c>
      <c r="C4150" s="76">
        <v>44718</v>
      </c>
      <c r="D4150" s="264"/>
      <c r="E4150" s="250" t="s">
        <v>79</v>
      </c>
      <c r="F4150" s="88">
        <v>100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324"/>
      <c r="O4150" s="81"/>
    </row>
    <row r="4151" spans="1:15" hidden="1" x14ac:dyDescent="0.35">
      <c r="A4151" s="249" t="s">
        <v>2677</v>
      </c>
      <c r="B4151" s="250" t="s">
        <v>2590</v>
      </c>
      <c r="C4151" s="76">
        <v>44718</v>
      </c>
      <c r="D4151" s="264"/>
      <c r="E4151" s="250" t="s">
        <v>28</v>
      </c>
      <c r="F4151" s="88">
        <v>330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410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324"/>
      <c r="O4151" s="81"/>
    </row>
    <row r="4152" spans="1:15" hidden="1" x14ac:dyDescent="0.35">
      <c r="A4152" s="249" t="s">
        <v>2650</v>
      </c>
      <c r="B4152" s="250" t="s">
        <v>2590</v>
      </c>
      <c r="C4152" s="76">
        <v>44718</v>
      </c>
      <c r="D4152" s="264"/>
      <c r="E4152" s="250" t="s">
        <v>18</v>
      </c>
      <c r="F4152" s="77">
        <v>756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678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2</v>
      </c>
      <c r="L4152" s="78"/>
      <c r="M4152" s="80"/>
      <c r="N4152" s="324"/>
      <c r="O4152" s="81"/>
    </row>
    <row r="4153" spans="1:15" hidden="1" x14ac:dyDescent="0.35">
      <c r="A4153" s="249" t="s">
        <v>2650</v>
      </c>
      <c r="B4153" s="250" t="s">
        <v>2590</v>
      </c>
      <c r="C4153" s="76">
        <v>44718</v>
      </c>
      <c r="D4153" s="264"/>
      <c r="E4153" s="250" t="s">
        <v>135</v>
      </c>
      <c r="F4153" s="77">
        <v>200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324"/>
      <c r="O4153" s="81"/>
    </row>
    <row r="4154" spans="1:15" hidden="1" x14ac:dyDescent="0.35">
      <c r="A4154" s="249" t="s">
        <v>2650</v>
      </c>
      <c r="B4154" s="313" t="s">
        <v>2590</v>
      </c>
      <c r="C4154" s="76">
        <v>44718</v>
      </c>
      <c r="D4154" s="264"/>
      <c r="E4154" s="250" t="s">
        <v>203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324"/>
      <c r="O4154" s="81"/>
    </row>
    <row r="4155" spans="1:15" hidden="1" x14ac:dyDescent="0.35">
      <c r="A4155" s="249" t="s">
        <v>2759</v>
      </c>
      <c r="B4155" s="322" t="s">
        <v>30</v>
      </c>
      <c r="C4155" s="76">
        <v>44749</v>
      </c>
      <c r="D4155" s="180"/>
      <c r="E4155" s="86" t="s">
        <v>39</v>
      </c>
      <c r="F4155" s="88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324"/>
      <c r="O4155" s="251" t="s">
        <v>1074</v>
      </c>
    </row>
    <row r="4156" spans="1:15" hidden="1" x14ac:dyDescent="0.35">
      <c r="A4156" s="249" t="s">
        <v>2759</v>
      </c>
      <c r="B4156" s="322" t="s">
        <v>30</v>
      </c>
      <c r="C4156" s="76">
        <v>44749</v>
      </c>
      <c r="D4156" s="180"/>
      <c r="E4156" s="86" t="s">
        <v>28</v>
      </c>
      <c r="F4156" s="88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324"/>
      <c r="O4156" s="251" t="s">
        <v>1074</v>
      </c>
    </row>
    <row r="4157" spans="1:15" hidden="1" x14ac:dyDescent="0.35">
      <c r="A4157" s="249" t="s">
        <v>2759</v>
      </c>
      <c r="B4157" s="322" t="s">
        <v>30</v>
      </c>
      <c r="C4157" s="76">
        <v>44749</v>
      </c>
      <c r="D4157" s="180"/>
      <c r="E4157" s="86" t="s">
        <v>18</v>
      </c>
      <c r="F4157" s="88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324"/>
      <c r="O4157" s="251" t="s">
        <v>1074</v>
      </c>
    </row>
    <row r="4158" spans="1:15" hidden="1" x14ac:dyDescent="0.35">
      <c r="A4158" s="249" t="s">
        <v>2711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4"/>
      <c r="O4158" s="251" t="s">
        <v>1074</v>
      </c>
    </row>
    <row r="4159" spans="1:15" hidden="1" x14ac:dyDescent="0.35">
      <c r="A4159" s="249" t="s">
        <v>2711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4"/>
      <c r="O4159" s="251" t="s">
        <v>1074</v>
      </c>
    </row>
    <row r="4160" spans="1:15" hidden="1" x14ac:dyDescent="0.35">
      <c r="A4160" s="249" t="s">
        <v>2759</v>
      </c>
      <c r="B4160" s="151" t="s">
        <v>30</v>
      </c>
      <c r="C4160" s="76">
        <v>44749</v>
      </c>
      <c r="D4160" s="180"/>
      <c r="E4160" s="261" t="s">
        <v>25</v>
      </c>
      <c r="F4160" s="88">
        <v>360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324"/>
      <c r="O4160" s="251" t="s">
        <v>1074</v>
      </c>
    </row>
    <row r="4161" spans="1:15" hidden="1" x14ac:dyDescent="0.35">
      <c r="A4161" s="249" t="s">
        <v>2682</v>
      </c>
      <c r="B4161" s="9" t="s">
        <v>239</v>
      </c>
      <c r="C4161" s="76">
        <v>44718</v>
      </c>
      <c r="D4161" s="180"/>
      <c r="E4161" s="161" t="s">
        <v>18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324"/>
      <c r="O4161" s="81"/>
    </row>
    <row r="4162" spans="1:15" hidden="1" x14ac:dyDescent="0.35">
      <c r="A4162" s="249" t="s">
        <v>2682</v>
      </c>
      <c r="B4162" s="9" t="s">
        <v>239</v>
      </c>
      <c r="C4162" s="76">
        <v>44718</v>
      </c>
      <c r="D4162" s="235"/>
      <c r="E4162" s="157" t="s">
        <v>28</v>
      </c>
      <c r="F4162" s="77">
        <v>120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324"/>
      <c r="O4162" s="81"/>
    </row>
    <row r="4163" spans="1:15" hidden="1" x14ac:dyDescent="0.35">
      <c r="A4163" s="249" t="s">
        <v>2682</v>
      </c>
      <c r="B4163" s="9" t="s">
        <v>239</v>
      </c>
      <c r="C4163" s="76">
        <v>44718</v>
      </c>
      <c r="D4163" s="180"/>
      <c r="E4163" s="161" t="s">
        <v>39</v>
      </c>
      <c r="F4163" s="77">
        <v>120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324"/>
      <c r="O4163" s="81"/>
    </row>
    <row r="4164" spans="1:15" hidden="1" x14ac:dyDescent="0.35">
      <c r="A4164" s="249" t="s">
        <v>2682</v>
      </c>
      <c r="B4164" s="9" t="s">
        <v>239</v>
      </c>
      <c r="C4164" s="76">
        <v>44718</v>
      </c>
      <c r="D4164" s="235"/>
      <c r="E4164" s="250" t="s">
        <v>25</v>
      </c>
      <c r="F4164" s="77">
        <v>240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324"/>
      <c r="O4164" s="81"/>
    </row>
    <row r="4165" spans="1:15" hidden="1" x14ac:dyDescent="0.35">
      <c r="A4165" s="249" t="s">
        <v>2765</v>
      </c>
      <c r="B4165" s="9" t="s">
        <v>1336</v>
      </c>
      <c r="C4165" s="76">
        <v>44750</v>
      </c>
      <c r="D4165" s="264"/>
      <c r="E4165" s="157" t="s">
        <v>28</v>
      </c>
      <c r="F4165" s="88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324"/>
      <c r="O4165" s="81"/>
    </row>
    <row r="4166" spans="1:15" hidden="1" x14ac:dyDescent="0.35">
      <c r="A4166" s="249" t="s">
        <v>2765</v>
      </c>
      <c r="B4166" s="9" t="s">
        <v>1336</v>
      </c>
      <c r="C4166" s="76">
        <v>44750</v>
      </c>
      <c r="D4166" s="264"/>
      <c r="E4166" s="157" t="s">
        <v>18</v>
      </c>
      <c r="F4166" s="88">
        <v>600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324"/>
      <c r="O4166" s="81"/>
    </row>
    <row r="4167" spans="1:15" hidden="1" x14ac:dyDescent="0.35">
      <c r="A4167" s="249" t="s">
        <v>2765</v>
      </c>
      <c r="B4167" s="9" t="s">
        <v>1336</v>
      </c>
      <c r="C4167" s="76">
        <v>44750</v>
      </c>
      <c r="D4167" s="264"/>
      <c r="E4167" s="157" t="s">
        <v>39</v>
      </c>
      <c r="F4167" s="88">
        <v>240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324"/>
      <c r="O4167" s="81"/>
    </row>
    <row r="4168" spans="1:15" hidden="1" x14ac:dyDescent="0.35">
      <c r="A4168" s="249" t="s">
        <v>2765</v>
      </c>
      <c r="B4168" s="9" t="s">
        <v>1336</v>
      </c>
      <c r="C4168" s="76">
        <v>44750</v>
      </c>
      <c r="D4168" s="264"/>
      <c r="E4168" s="157" t="s">
        <v>25</v>
      </c>
      <c r="F4168" s="88">
        <v>360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4"/>
      <c r="O4168" s="81"/>
    </row>
    <row r="4169" spans="1:15" hidden="1" x14ac:dyDescent="0.35">
      <c r="A4169" s="249" t="s">
        <v>2660</v>
      </c>
      <c r="B4169" s="157" t="s">
        <v>104</v>
      </c>
      <c r="C4169" s="76">
        <v>44707</v>
      </c>
      <c r="D4169" s="180"/>
      <c r="E4169" s="86" t="s">
        <v>28</v>
      </c>
      <c r="F4169" s="88">
        <v>240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282"/>
      <c r="O4169" s="81"/>
    </row>
    <row r="4170" spans="1:15" hidden="1" x14ac:dyDescent="0.35">
      <c r="A4170" s="249" t="s">
        <v>2660</v>
      </c>
      <c r="B4170" s="157" t="s">
        <v>104</v>
      </c>
      <c r="C4170" s="76">
        <v>44707</v>
      </c>
      <c r="D4170" s="180"/>
      <c r="E4170" s="86" t="s">
        <v>25</v>
      </c>
      <c r="F4170" s="88">
        <v>360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282"/>
      <c r="O4170" s="81"/>
    </row>
    <row r="4171" spans="1:15" hidden="1" x14ac:dyDescent="0.35">
      <c r="A4171" s="249" t="s">
        <v>2660</v>
      </c>
      <c r="B4171" s="157" t="s">
        <v>104</v>
      </c>
      <c r="C4171" s="76">
        <v>44707</v>
      </c>
      <c r="D4171" s="180"/>
      <c r="E4171" s="86" t="s">
        <v>39</v>
      </c>
      <c r="F4171" s="88">
        <v>240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282"/>
      <c r="O4171" s="81"/>
    </row>
    <row r="4172" spans="1:15" hidden="1" x14ac:dyDescent="0.35">
      <c r="A4172" s="249" t="s">
        <v>2663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hidden="1" x14ac:dyDescent="0.35">
      <c r="A4173" s="249" t="s">
        <v>2660</v>
      </c>
      <c r="B4173" s="157" t="s">
        <v>104</v>
      </c>
      <c r="C4173" s="76">
        <v>44707</v>
      </c>
      <c r="D4173" s="180"/>
      <c r="E4173" s="86" t="s">
        <v>18</v>
      </c>
      <c r="F4173" s="88">
        <v>360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81"/>
    </row>
    <row r="4174" spans="1:15" hidden="1" x14ac:dyDescent="0.35">
      <c r="A4174" s="249" t="s">
        <v>2669</v>
      </c>
      <c r="B4174" s="9" t="s">
        <v>2557</v>
      </c>
      <c r="C4174" s="76">
        <v>44712</v>
      </c>
      <c r="D4174" s="264"/>
      <c r="E4174" s="86" t="s">
        <v>39</v>
      </c>
      <c r="F4174" s="88">
        <v>240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3</v>
      </c>
      <c r="L4174" s="78"/>
      <c r="M4174" s="80"/>
      <c r="N4174" s="324"/>
      <c r="O4174" s="81"/>
    </row>
    <row r="4175" spans="1:15" hidden="1" x14ac:dyDescent="0.35">
      <c r="A4175" s="249" t="s">
        <v>2347</v>
      </c>
      <c r="B4175" s="9" t="s">
        <v>2348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2347</v>
      </c>
      <c r="B4176" s="9" t="s">
        <v>2348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2347</v>
      </c>
      <c r="B4177" s="9" t="s">
        <v>2348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2347</v>
      </c>
      <c r="B4178" s="9" t="s">
        <v>2348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2347</v>
      </c>
      <c r="B4179" s="150" t="s">
        <v>2348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2347</v>
      </c>
      <c r="B4180" s="150" t="s">
        <v>2355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2347</v>
      </c>
      <c r="B4181" s="150" t="s">
        <v>2355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2347</v>
      </c>
      <c r="B4182" s="150" t="s">
        <v>2355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2347</v>
      </c>
      <c r="B4183" s="9" t="s">
        <v>2355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2347</v>
      </c>
      <c r="B4184" s="9" t="s">
        <v>2355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hidden="1" x14ac:dyDescent="0.35">
      <c r="A4185" s="249" t="s">
        <v>2669</v>
      </c>
      <c r="B4185" s="9" t="s">
        <v>2557</v>
      </c>
      <c r="C4185" s="76">
        <v>44712</v>
      </c>
      <c r="D4185" s="264"/>
      <c r="E4185" s="86" t="s">
        <v>28</v>
      </c>
      <c r="F4185" s="88"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324"/>
      <c r="O4185" s="81"/>
    </row>
    <row r="4186" spans="1:15" hidden="1" x14ac:dyDescent="0.35">
      <c r="A4186" s="249" t="s">
        <v>2664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hidden="1" x14ac:dyDescent="0.35">
      <c r="A4187" s="249" t="s">
        <v>2669</v>
      </c>
      <c r="B4187" s="150" t="s">
        <v>2557</v>
      </c>
      <c r="C4187" s="76">
        <v>44712</v>
      </c>
      <c r="D4187" s="264"/>
      <c r="E4187" s="86" t="s">
        <v>18</v>
      </c>
      <c r="F4187" s="88">
        <v>360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324"/>
      <c r="O4187" s="81"/>
    </row>
    <row r="4188" spans="1:15" hidden="1" x14ac:dyDescent="0.35">
      <c r="A4188" s="249" t="s">
        <v>2669</v>
      </c>
      <c r="B4188" s="150" t="s">
        <v>2557</v>
      </c>
      <c r="C4188" s="76">
        <v>44712</v>
      </c>
      <c r="D4188" s="264"/>
      <c r="E4188" s="261" t="s">
        <v>25</v>
      </c>
      <c r="F4188" s="88">
        <v>360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4</v>
      </c>
      <c r="L4188" s="78"/>
      <c r="M4188" s="80"/>
      <c r="N4188" s="324"/>
      <c r="O4188" s="81"/>
    </row>
    <row r="4189" spans="1:15" hidden="1" x14ac:dyDescent="0.35">
      <c r="A4189" s="249" t="s">
        <v>2770</v>
      </c>
      <c r="B4189" s="321" t="s">
        <v>238</v>
      </c>
      <c r="C4189" s="76">
        <v>44739</v>
      </c>
      <c r="D4189" s="235"/>
      <c r="E4189" s="86" t="s">
        <v>28</v>
      </c>
      <c r="F4189" s="88">
        <v>1000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324"/>
      <c r="O4189" s="251" t="s">
        <v>1074</v>
      </c>
    </row>
    <row r="4190" spans="1:15" hidden="1" x14ac:dyDescent="0.35">
      <c r="A4190" s="249" t="s">
        <v>2770</v>
      </c>
      <c r="B4190" s="321" t="s">
        <v>238</v>
      </c>
      <c r="C4190" s="76">
        <v>44739</v>
      </c>
      <c r="D4190" s="235"/>
      <c r="E4190" s="261" t="s">
        <v>18</v>
      </c>
      <c r="F4190" s="88">
        <v>1000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324"/>
      <c r="O4190" s="251" t="s">
        <v>1074</v>
      </c>
    </row>
    <row r="4191" spans="1:15" hidden="1" x14ac:dyDescent="0.35">
      <c r="A4191" s="249" t="s">
        <v>2721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4"/>
      <c r="O4191" s="251" t="s">
        <v>1074</v>
      </c>
    </row>
    <row r="4192" spans="1:15" hidden="1" x14ac:dyDescent="0.35">
      <c r="A4192" s="249" t="s">
        <v>2721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4"/>
      <c r="O4192" s="251" t="s">
        <v>1074</v>
      </c>
    </row>
    <row r="4193" spans="1:15" hidden="1" x14ac:dyDescent="0.35">
      <c r="A4193" s="249" t="s">
        <v>2728</v>
      </c>
      <c r="B4193" s="151" t="s">
        <v>2222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4"/>
      <c r="O4193" s="251" t="s">
        <v>1074</v>
      </c>
    </row>
    <row r="4194" spans="1:15" hidden="1" x14ac:dyDescent="0.35">
      <c r="A4194" s="249" t="s">
        <v>2728</v>
      </c>
      <c r="B4194" s="151" t="s">
        <v>2222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4"/>
      <c r="O4194" s="251" t="s">
        <v>1074</v>
      </c>
    </row>
    <row r="4195" spans="1:15" hidden="1" x14ac:dyDescent="0.35">
      <c r="A4195" s="249" t="s">
        <v>2728</v>
      </c>
      <c r="B4195" s="151" t="s">
        <v>2222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4"/>
      <c r="O4195" s="251" t="s">
        <v>1074</v>
      </c>
    </row>
    <row r="4196" spans="1:15" hidden="1" x14ac:dyDescent="0.35">
      <c r="A4196" s="249" t="s">
        <v>2728</v>
      </c>
      <c r="B4196" s="151" t="s">
        <v>2222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4"/>
      <c r="O4196" s="251" t="s">
        <v>1074</v>
      </c>
    </row>
    <row r="4197" spans="1:15" hidden="1" x14ac:dyDescent="0.35">
      <c r="A4197" s="249" t="s">
        <v>2786</v>
      </c>
      <c r="B4197" s="161" t="s">
        <v>238</v>
      </c>
      <c r="C4197" s="76">
        <v>44753</v>
      </c>
      <c r="D4197" s="235"/>
      <c r="E4197" s="261" t="s">
        <v>28</v>
      </c>
      <c r="F4197" s="88">
        <v>1000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4"/>
      <c r="O4197" s="81"/>
    </row>
    <row r="4198" spans="1:15" hidden="1" x14ac:dyDescent="0.35">
      <c r="A4198" s="249" t="s">
        <v>2379</v>
      </c>
      <c r="B4198" s="9" t="s">
        <v>796</v>
      </c>
      <c r="C4198" s="76">
        <v>44647</v>
      </c>
      <c r="D4198" s="264"/>
      <c r="E4198" s="157" t="s">
        <v>18</v>
      </c>
      <c r="F4198" s="88">
        <v>360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13</v>
      </c>
      <c r="L4198" s="78"/>
      <c r="M4198" s="80"/>
      <c r="N4198" s="282"/>
      <c r="O4198" s="251" t="s">
        <v>1074</v>
      </c>
    </row>
    <row r="4199" spans="1:15" hidden="1" x14ac:dyDescent="0.35">
      <c r="A4199" s="249" t="s">
        <v>2379</v>
      </c>
      <c r="B4199" s="9" t="s">
        <v>796</v>
      </c>
      <c r="C4199" s="76">
        <v>44647</v>
      </c>
      <c r="D4199" s="264"/>
      <c r="E4199" s="157" t="s">
        <v>28</v>
      </c>
      <c r="F4199" s="88">
        <v>240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251" t="s">
        <v>1074</v>
      </c>
    </row>
    <row r="4200" spans="1:15" hidden="1" x14ac:dyDescent="0.35">
      <c r="A4200" s="249" t="s">
        <v>2379</v>
      </c>
      <c r="B4200" s="9" t="s">
        <v>796</v>
      </c>
      <c r="C4200" s="76">
        <v>44647</v>
      </c>
      <c r="D4200" s="264"/>
      <c r="E4200" s="157" t="s">
        <v>39</v>
      </c>
      <c r="F4200" s="88">
        <v>240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251" t="s">
        <v>1074</v>
      </c>
    </row>
    <row r="4201" spans="1:15" hidden="1" x14ac:dyDescent="0.35">
      <c r="A4201" s="249" t="s">
        <v>2379</v>
      </c>
      <c r="B4201" s="9" t="s">
        <v>796</v>
      </c>
      <c r="C4201" s="76">
        <v>44647</v>
      </c>
      <c r="D4201" s="264"/>
      <c r="E4201" s="157" t="s">
        <v>25</v>
      </c>
      <c r="F4201" s="88">
        <v>360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251" t="s">
        <v>1074</v>
      </c>
    </row>
    <row r="4202" spans="1:15" hidden="1" x14ac:dyDescent="0.35">
      <c r="A4202" s="249" t="s">
        <v>2585</v>
      </c>
      <c r="B4202" s="9" t="s">
        <v>241</v>
      </c>
      <c r="C4202" s="76">
        <v>44691</v>
      </c>
      <c r="D4202" s="180"/>
      <c r="E4202" s="86" t="s">
        <v>25</v>
      </c>
      <c r="F4202" s="88">
        <v>360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1</v>
      </c>
      <c r="L4202" s="78"/>
      <c r="M4202" s="80"/>
      <c r="N4202" s="282"/>
      <c r="O4202" s="81"/>
    </row>
    <row r="4203" spans="1:15" hidden="1" x14ac:dyDescent="0.35">
      <c r="A4203" s="249" t="s">
        <v>2585</v>
      </c>
      <c r="B4203" s="9" t="s">
        <v>241</v>
      </c>
      <c r="C4203" s="76">
        <v>44691</v>
      </c>
      <c r="D4203" s="180"/>
      <c r="E4203" s="161" t="s">
        <v>28</v>
      </c>
      <c r="F4203" s="88">
        <v>240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282"/>
      <c r="O4203" s="81"/>
    </row>
    <row r="4204" spans="1:15" hidden="1" x14ac:dyDescent="0.35">
      <c r="A4204" s="249" t="s">
        <v>2585</v>
      </c>
      <c r="B4204" s="9" t="s">
        <v>241</v>
      </c>
      <c r="C4204" s="76">
        <v>44691</v>
      </c>
      <c r="D4204" s="180"/>
      <c r="E4204" s="161" t="s">
        <v>39</v>
      </c>
      <c r="F4204" s="88">
        <v>240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1</v>
      </c>
      <c r="L4204" s="78"/>
      <c r="M4204" s="80"/>
      <c r="N4204" s="282"/>
      <c r="O4204" s="81"/>
    </row>
    <row r="4205" spans="1:15" hidden="1" x14ac:dyDescent="0.35">
      <c r="A4205" s="249" t="s">
        <v>2585</v>
      </c>
      <c r="B4205" s="9" t="s">
        <v>241</v>
      </c>
      <c r="C4205" s="76">
        <v>44691</v>
      </c>
      <c r="D4205" s="180"/>
      <c r="E4205" s="161" t="s">
        <v>18</v>
      </c>
      <c r="F4205" s="88">
        <v>360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5</v>
      </c>
      <c r="L4205" s="78"/>
      <c r="M4205" s="80"/>
      <c r="N4205" s="282"/>
      <c r="O4205" s="81"/>
    </row>
    <row r="4206" spans="1:15" hidden="1" x14ac:dyDescent="0.35">
      <c r="A4206" s="249" t="s">
        <v>2428</v>
      </c>
      <c r="B4206" s="9" t="s">
        <v>2426</v>
      </c>
      <c r="C4206" s="76">
        <v>44653</v>
      </c>
      <c r="D4206" s="264"/>
      <c r="E4206" s="250" t="s">
        <v>18</v>
      </c>
      <c r="F4206" s="77"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282"/>
      <c r="O4206" s="81"/>
    </row>
    <row r="4207" spans="1:15" hidden="1" x14ac:dyDescent="0.35">
      <c r="A4207" s="249" t="s">
        <v>2428</v>
      </c>
      <c r="B4207" s="250" t="s">
        <v>2425</v>
      </c>
      <c r="C4207" s="76">
        <v>44653</v>
      </c>
      <c r="D4207" s="264"/>
      <c r="E4207" s="250" t="s">
        <v>18</v>
      </c>
      <c r="F4207" s="77">
        <v>480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282"/>
      <c r="O4207" s="81"/>
    </row>
    <row r="4208" spans="1:15" hidden="1" x14ac:dyDescent="0.35">
      <c r="A4208" s="249" t="s">
        <v>2739</v>
      </c>
      <c r="B4208" s="9" t="s">
        <v>2738</v>
      </c>
      <c r="C4208" s="76">
        <v>44740</v>
      </c>
      <c r="D4208" s="264"/>
      <c r="E4208" s="250" t="s">
        <v>39</v>
      </c>
      <c r="F4208" s="77">
        <v>50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0</v>
      </c>
      <c r="L4208" s="78"/>
      <c r="M4208" s="80"/>
      <c r="N4208" s="324"/>
      <c r="O4208" s="81"/>
    </row>
    <row r="4209" spans="1:15" hidden="1" x14ac:dyDescent="0.35">
      <c r="A4209" s="249" t="s">
        <v>2753</v>
      </c>
      <c r="B4209" s="9" t="s">
        <v>2752</v>
      </c>
      <c r="C4209" s="76">
        <v>44749</v>
      </c>
      <c r="D4209" s="264"/>
      <c r="E4209" s="250" t="s">
        <v>28</v>
      </c>
      <c r="F4209" s="77">
        <v>100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0</v>
      </c>
      <c r="L4209" s="78"/>
      <c r="M4209" s="80"/>
      <c r="N4209" s="324"/>
      <c r="O4209" s="81"/>
    </row>
    <row r="4210" spans="1:15" x14ac:dyDescent="0.35">
      <c r="A4210" s="249" t="s">
        <v>2754</v>
      </c>
      <c r="B4210" s="151" t="s">
        <v>1071</v>
      </c>
      <c r="C4210" s="76">
        <v>44749</v>
      </c>
      <c r="D4210" s="180"/>
      <c r="E4210" s="241" t="s">
        <v>18</v>
      </c>
      <c r="F4210" s="77">
        <v>600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2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324"/>
      <c r="O4210" s="81"/>
    </row>
    <row r="4211" spans="1:15" hidden="1" x14ac:dyDescent="0.35">
      <c r="A4211" s="249" t="s">
        <v>2395</v>
      </c>
      <c r="B4211" s="9" t="s">
        <v>2382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2395</v>
      </c>
      <c r="B4212" s="9" t="s">
        <v>2382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2395</v>
      </c>
      <c r="B4213" s="9" t="s">
        <v>2382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2395</v>
      </c>
      <c r="B4214" s="150" t="s">
        <v>2382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2395</v>
      </c>
      <c r="B4215" s="150" t="s">
        <v>2382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2395</v>
      </c>
      <c r="B4216" s="9" t="s">
        <v>2383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2395</v>
      </c>
      <c r="B4217" s="9" t="s">
        <v>2383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2395</v>
      </c>
      <c r="B4218" s="9" t="s">
        <v>2383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2395</v>
      </c>
      <c r="B4219" s="150" t="s">
        <v>2383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2395</v>
      </c>
      <c r="B4220" s="9" t="s">
        <v>2383</v>
      </c>
      <c r="C4220" s="76">
        <v>44648</v>
      </c>
      <c r="D4220" s="264"/>
      <c r="E4220" s="250" t="s">
        <v>2403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2395</v>
      </c>
      <c r="B4221" s="9" t="s">
        <v>2381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2395</v>
      </c>
      <c r="B4222" s="9" t="s">
        <v>2381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2395</v>
      </c>
      <c r="B4223" s="9" t="s">
        <v>2381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2395</v>
      </c>
      <c r="B4224" s="9" t="s">
        <v>2381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2395</v>
      </c>
      <c r="B4225" s="9" t="s">
        <v>2381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2395</v>
      </c>
      <c r="B4226" s="9" t="s">
        <v>2380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2395</v>
      </c>
      <c r="B4227" s="9" t="s">
        <v>2380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2395</v>
      </c>
      <c r="B4228" s="9" t="s">
        <v>2380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2395</v>
      </c>
      <c r="B4229" s="9" t="s">
        <v>2380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hidden="1" x14ac:dyDescent="0.35">
      <c r="A4230" s="249" t="s">
        <v>2716</v>
      </c>
      <c r="B4230" s="322" t="s">
        <v>1071</v>
      </c>
      <c r="C4230" s="76">
        <v>44731</v>
      </c>
      <c r="D4230" s="180"/>
      <c r="E4230" s="261" t="s">
        <v>39</v>
      </c>
      <c r="F4230" s="77">
        <v>600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324"/>
      <c r="O4230" s="81"/>
    </row>
    <row r="4231" spans="1:15" x14ac:dyDescent="0.35">
      <c r="A4231" s="249" t="s">
        <v>2729</v>
      </c>
      <c r="B4231" s="322" t="s">
        <v>1071</v>
      </c>
      <c r="C4231" s="76">
        <v>44736</v>
      </c>
      <c r="D4231" s="180"/>
      <c r="E4231" s="261" t="s">
        <v>28</v>
      </c>
      <c r="F4231" s="77">
        <v>600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2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324"/>
      <c r="O4231" s="81"/>
    </row>
    <row r="4232" spans="1:15" hidden="1" x14ac:dyDescent="0.35">
      <c r="A4232" s="249" t="s">
        <v>2586</v>
      </c>
      <c r="B4232" s="322" t="s">
        <v>2539</v>
      </c>
      <c r="C4232" s="76">
        <v>44677</v>
      </c>
      <c r="D4232" s="264"/>
      <c r="E4232" s="250" t="s">
        <v>79</v>
      </c>
      <c r="F4232" s="77">
        <v>360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0</v>
      </c>
      <c r="L4232" s="78"/>
      <c r="M4232" s="80"/>
      <c r="N4232" s="282"/>
      <c r="O4232" s="81"/>
    </row>
    <row r="4233" spans="1:15" hidden="1" x14ac:dyDescent="0.35">
      <c r="A4233" s="249" t="s">
        <v>2586</v>
      </c>
      <c r="B4233" s="322" t="s">
        <v>2539</v>
      </c>
      <c r="C4233" s="76">
        <v>44677</v>
      </c>
      <c r="D4233" s="264"/>
      <c r="E4233" s="161" t="s">
        <v>18</v>
      </c>
      <c r="F4233" s="77">
        <v>360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282"/>
      <c r="O4233" s="81"/>
    </row>
    <row r="4234" spans="1:15" hidden="1" x14ac:dyDescent="0.35">
      <c r="A4234" s="249" t="s">
        <v>2586</v>
      </c>
      <c r="B4234" s="150" t="s">
        <v>2538</v>
      </c>
      <c r="C4234" s="76">
        <v>44677</v>
      </c>
      <c r="D4234" s="264"/>
      <c r="E4234" s="250" t="s">
        <v>79</v>
      </c>
      <c r="F4234" s="77">
        <v>360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0</v>
      </c>
      <c r="L4234" s="78"/>
      <c r="M4234" s="80"/>
      <c r="N4234" s="282"/>
      <c r="O4234" s="81"/>
    </row>
    <row r="4235" spans="1:15" hidden="1" x14ac:dyDescent="0.35">
      <c r="A4235" s="249" t="s">
        <v>2586</v>
      </c>
      <c r="B4235" s="150" t="s">
        <v>2538</v>
      </c>
      <c r="C4235" s="76">
        <v>44677</v>
      </c>
      <c r="D4235" s="264"/>
      <c r="E4235" s="161" t="s">
        <v>18</v>
      </c>
      <c r="F4235" s="77">
        <v>360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282"/>
      <c r="O4235" s="81"/>
    </row>
    <row r="4236" spans="1:15" hidden="1" x14ac:dyDescent="0.35">
      <c r="A4236" s="249" t="s">
        <v>2762</v>
      </c>
      <c r="B4236" s="322" t="s">
        <v>2222</v>
      </c>
      <c r="C4236" s="76">
        <v>44750</v>
      </c>
      <c r="D4236" s="180"/>
      <c r="E4236" s="86" t="s">
        <v>39</v>
      </c>
      <c r="F4236" s="88">
        <v>240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4"/>
      <c r="O4236" s="251" t="s">
        <v>1074</v>
      </c>
    </row>
    <row r="4237" spans="1:15" hidden="1" x14ac:dyDescent="0.35">
      <c r="A4237" s="249" t="s">
        <v>2762</v>
      </c>
      <c r="B4237" s="322" t="s">
        <v>2222</v>
      </c>
      <c r="C4237" s="76">
        <v>44750</v>
      </c>
      <c r="D4237" s="180"/>
      <c r="E4237" s="86" t="s">
        <v>18</v>
      </c>
      <c r="F4237" s="88">
        <v>360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4"/>
      <c r="O4237" s="251" t="s">
        <v>1074</v>
      </c>
    </row>
    <row r="4238" spans="1:15" hidden="1" x14ac:dyDescent="0.35">
      <c r="A4238" s="249" t="s">
        <v>2762</v>
      </c>
      <c r="B4238" s="322" t="s">
        <v>2222</v>
      </c>
      <c r="C4238" s="76">
        <v>44750</v>
      </c>
      <c r="D4238" s="207"/>
      <c r="E4238" s="181" t="s">
        <v>25</v>
      </c>
      <c r="F4238" s="72">
        <v>360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4"/>
      <c r="O4238" s="251" t="s">
        <v>1074</v>
      </c>
    </row>
    <row r="4239" spans="1:15" hidden="1" x14ac:dyDescent="0.35">
      <c r="A4239" s="249" t="s">
        <v>2762</v>
      </c>
      <c r="B4239" s="322" t="s">
        <v>2222</v>
      </c>
      <c r="C4239" s="76">
        <v>44750</v>
      </c>
      <c r="D4239" s="180"/>
      <c r="E4239" s="86" t="s">
        <v>28</v>
      </c>
      <c r="F4239" s="88">
        <v>240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4"/>
      <c r="O4239" s="251" t="s">
        <v>1074</v>
      </c>
    </row>
    <row r="4240" spans="1:15" hidden="1" x14ac:dyDescent="0.35">
      <c r="A4240" s="249" t="s">
        <v>2657</v>
      </c>
      <c r="B4240" s="150" t="s">
        <v>2604</v>
      </c>
      <c r="C4240" s="76">
        <v>44694</v>
      </c>
      <c r="D4240" s="264"/>
      <c r="E4240" s="250" t="s">
        <v>28</v>
      </c>
      <c r="F4240" s="77">
        <v>1200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1</v>
      </c>
      <c r="L4240" s="78"/>
      <c r="M4240" s="80"/>
      <c r="N4240" s="282"/>
      <c r="O4240" s="81"/>
    </row>
    <row r="4241" spans="1:15" hidden="1" x14ac:dyDescent="0.35">
      <c r="A4241" s="249" t="s">
        <v>2657</v>
      </c>
      <c r="B4241" s="9" t="s">
        <v>2604</v>
      </c>
      <c r="C4241" s="76">
        <v>44694</v>
      </c>
      <c r="D4241" s="264"/>
      <c r="E4241" s="250" t="s">
        <v>39</v>
      </c>
      <c r="F4241" s="77">
        <v>1200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282"/>
      <c r="O4241" s="81"/>
    </row>
    <row r="4242" spans="1:15" hidden="1" x14ac:dyDescent="0.35">
      <c r="A4242" s="249" t="s">
        <v>2657</v>
      </c>
      <c r="B4242" s="9" t="s">
        <v>2604</v>
      </c>
      <c r="C4242" s="76">
        <v>44694</v>
      </c>
      <c r="D4242" s="264"/>
      <c r="E4242" s="250" t="s">
        <v>18</v>
      </c>
      <c r="F4242" s="77">
        <v>1200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282"/>
      <c r="O4242" s="81"/>
    </row>
    <row r="4243" spans="1:15" x14ac:dyDescent="0.35">
      <c r="A4243" s="249" t="s">
        <v>2704</v>
      </c>
      <c r="B4243" s="250" t="s">
        <v>1306</v>
      </c>
      <c r="C4243" s="76">
        <v>44726</v>
      </c>
      <c r="D4243" s="264"/>
      <c r="E4243" s="250" t="s">
        <v>39</v>
      </c>
      <c r="F4243" s="77">
        <v>500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4"/>
      <c r="O4243" s="81"/>
    </row>
    <row r="4244" spans="1:15" hidden="1" x14ac:dyDescent="0.35">
      <c r="A4244" s="249" t="s">
        <v>2647</v>
      </c>
      <c r="B4244" s="250" t="s">
        <v>2649</v>
      </c>
      <c r="C4244" s="76">
        <v>44705</v>
      </c>
      <c r="D4244" s="264"/>
      <c r="E4244" s="250" t="s">
        <v>28</v>
      </c>
      <c r="F4244" s="77">
        <v>1000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282"/>
      <c r="O4244" s="81"/>
    </row>
    <row r="4245" spans="1:15" hidden="1" x14ac:dyDescent="0.35">
      <c r="A4245" s="249" t="s">
        <v>2647</v>
      </c>
      <c r="B4245" s="250" t="s">
        <v>2646</v>
      </c>
      <c r="C4245" s="76">
        <v>44705</v>
      </c>
      <c r="D4245" s="264"/>
      <c r="E4245" s="250" t="s">
        <v>28</v>
      </c>
      <c r="F4245" s="77">
        <v>500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26</v>
      </c>
      <c r="L4245" s="78"/>
      <c r="M4245" s="80"/>
      <c r="N4245" s="282"/>
      <c r="O4245" s="81"/>
    </row>
    <row r="4246" spans="1:15" hidden="1" x14ac:dyDescent="0.35">
      <c r="A4246" s="249" t="s">
        <v>2653</v>
      </c>
      <c r="B4246" s="250" t="s">
        <v>1117</v>
      </c>
      <c r="C4246" s="76">
        <v>44706</v>
      </c>
      <c r="D4246" s="264"/>
      <c r="E4246" s="250" t="s">
        <v>87</v>
      </c>
      <c r="F4246" s="77">
        <v>200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282"/>
      <c r="O4246" s="81"/>
    </row>
    <row r="4247" spans="1:15" hidden="1" x14ac:dyDescent="0.35">
      <c r="A4247" s="249" t="s">
        <v>2653</v>
      </c>
      <c r="B4247" s="250" t="s">
        <v>1117</v>
      </c>
      <c r="C4247" s="76">
        <v>44706</v>
      </c>
      <c r="D4247" s="264"/>
      <c r="E4247" s="263" t="s">
        <v>2652</v>
      </c>
      <c r="F4247" s="77">
        <v>200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282"/>
      <c r="O4247" s="81"/>
    </row>
    <row r="4248" spans="1:15" hidden="1" x14ac:dyDescent="0.35">
      <c r="A4248" s="249" t="s">
        <v>2653</v>
      </c>
      <c r="B4248" s="250" t="s">
        <v>1040</v>
      </c>
      <c r="C4248" s="76">
        <v>44706</v>
      </c>
      <c r="D4248" s="264"/>
      <c r="E4248" s="250" t="s">
        <v>2021</v>
      </c>
      <c r="F4248" s="77">
        <v>200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282"/>
      <c r="O4248" s="81"/>
    </row>
    <row r="4249" spans="1:15" hidden="1" x14ac:dyDescent="0.35">
      <c r="A4249" s="249" t="s">
        <v>2653</v>
      </c>
      <c r="B4249" s="313" t="s">
        <v>1040</v>
      </c>
      <c r="C4249" s="76">
        <v>44706</v>
      </c>
      <c r="D4249" s="264"/>
      <c r="E4249" s="250" t="s">
        <v>2039</v>
      </c>
      <c r="F4249" s="77">
        <v>200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282"/>
      <c r="O4249" s="81"/>
    </row>
    <row r="4250" spans="1:15" hidden="1" x14ac:dyDescent="0.35">
      <c r="A4250" s="249" t="s">
        <v>2653</v>
      </c>
      <c r="B4250" s="250" t="s">
        <v>1040</v>
      </c>
      <c r="C4250" s="76">
        <v>44706</v>
      </c>
      <c r="D4250" s="264"/>
      <c r="E4250" s="250" t="s">
        <v>2651</v>
      </c>
      <c r="F4250" s="77">
        <v>200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282"/>
      <c r="O4250" s="81"/>
    </row>
    <row r="4251" spans="1:15" hidden="1" x14ac:dyDescent="0.35">
      <c r="A4251" s="249" t="s">
        <v>2653</v>
      </c>
      <c r="B4251" s="250" t="s">
        <v>141</v>
      </c>
      <c r="C4251" s="76">
        <v>44706</v>
      </c>
      <c r="D4251" s="264"/>
      <c r="E4251" s="250" t="s">
        <v>2047</v>
      </c>
      <c r="F4251" s="77">
        <v>200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hidden="1" x14ac:dyDescent="0.35">
      <c r="A4252" s="249" t="s">
        <v>2653</v>
      </c>
      <c r="B4252" s="250" t="s">
        <v>141</v>
      </c>
      <c r="C4252" s="76">
        <v>44706</v>
      </c>
      <c r="D4252" s="264"/>
      <c r="E4252" s="250" t="s">
        <v>2651</v>
      </c>
      <c r="F4252" s="77">
        <v>200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hidden="1" x14ac:dyDescent="0.35">
      <c r="A4253" s="249" t="s">
        <v>2694</v>
      </c>
      <c r="B4253" s="9" t="s">
        <v>2687</v>
      </c>
      <c r="C4253" s="76">
        <v>44721</v>
      </c>
      <c r="D4253" s="264"/>
      <c r="E4253" s="250" t="s">
        <v>18</v>
      </c>
      <c r="F4253" s="77">
        <f>40*12</f>
        <v>480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324"/>
      <c r="O4253" s="81"/>
    </row>
    <row r="4254" spans="1:15" hidden="1" x14ac:dyDescent="0.35">
      <c r="A4254" s="249" t="s">
        <v>2694</v>
      </c>
      <c r="B4254" s="9" t="s">
        <v>2687</v>
      </c>
      <c r="C4254" s="76">
        <v>44721</v>
      </c>
      <c r="D4254" s="264"/>
      <c r="E4254" s="250" t="s">
        <v>28</v>
      </c>
      <c r="F4254" s="77">
        <f>80*12</f>
        <v>960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324"/>
      <c r="O4254" s="81"/>
    </row>
    <row r="4255" spans="1:15" hidden="1" x14ac:dyDescent="0.35">
      <c r="A4255" s="249" t="s">
        <v>2740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4"/>
      <c r="O4255" s="251" t="s">
        <v>1074</v>
      </c>
    </row>
    <row r="4256" spans="1:15" hidden="1" x14ac:dyDescent="0.35">
      <c r="A4256" s="249" t="s">
        <v>2740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4"/>
      <c r="O4256" s="251" t="s">
        <v>1074</v>
      </c>
    </row>
    <row r="4257" spans="1:15" hidden="1" x14ac:dyDescent="0.35">
      <c r="A4257" s="249" t="s">
        <v>2694</v>
      </c>
      <c r="B4257" s="9" t="s">
        <v>2695</v>
      </c>
      <c r="C4257" s="76">
        <v>44721</v>
      </c>
      <c r="D4257" s="264"/>
      <c r="E4257" s="250" t="s">
        <v>18</v>
      </c>
      <c r="F4257" s="77">
        <f>40*12</f>
        <v>480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0</v>
      </c>
      <c r="L4257" s="78"/>
      <c r="M4257" s="80"/>
      <c r="N4257" s="324"/>
      <c r="O4257" s="81"/>
    </row>
    <row r="4258" spans="1:15" hidden="1" x14ac:dyDescent="0.35">
      <c r="A4258" s="249" t="s">
        <v>2694</v>
      </c>
      <c r="B4258" s="9" t="s">
        <v>2695</v>
      </c>
      <c r="C4258" s="76">
        <v>44721</v>
      </c>
      <c r="D4258" s="264"/>
      <c r="E4258" s="250" t="s">
        <v>28</v>
      </c>
      <c r="F4258" s="77">
        <f>80*12</f>
        <v>960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4"/>
      <c r="O4258" s="81"/>
    </row>
    <row r="4259" spans="1:15" hidden="1" x14ac:dyDescent="0.35">
      <c r="A4259" s="249" t="s">
        <v>2450</v>
      </c>
      <c r="B4259" s="9" t="s">
        <v>2226</v>
      </c>
      <c r="C4259" s="89">
        <v>44662</v>
      </c>
      <c r="D4259" s="180"/>
      <c r="E4259" s="161" t="s">
        <v>79</v>
      </c>
      <c r="F4259" s="88">
        <v>300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282"/>
      <c r="O4259" s="81"/>
    </row>
    <row r="4260" spans="1:15" hidden="1" x14ac:dyDescent="0.35">
      <c r="A4260" s="249" t="s">
        <v>2450</v>
      </c>
      <c r="B4260" s="9" t="s">
        <v>2226</v>
      </c>
      <c r="C4260" s="89">
        <v>44662</v>
      </c>
      <c r="D4260" s="180"/>
      <c r="E4260" s="161" t="s">
        <v>39</v>
      </c>
      <c r="F4260" s="88">
        <v>300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12</v>
      </c>
      <c r="L4260" s="78"/>
      <c r="M4260" s="80"/>
      <c r="N4260" s="282"/>
      <c r="O4260" s="81"/>
    </row>
    <row r="4261" spans="1:15" hidden="1" x14ac:dyDescent="0.35">
      <c r="A4261" s="249" t="s">
        <v>2743</v>
      </c>
      <c r="B4261" s="322" t="s">
        <v>2080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4"/>
      <c r="O4261" s="251" t="s">
        <v>1074</v>
      </c>
    </row>
    <row r="4262" spans="1:15" hidden="1" x14ac:dyDescent="0.35">
      <c r="A4262" s="249" t="s">
        <v>2744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4"/>
      <c r="O4262" s="251" t="s">
        <v>1074</v>
      </c>
    </row>
    <row r="4263" spans="1:15" hidden="1" x14ac:dyDescent="0.35">
      <c r="A4263" s="249" t="s">
        <v>2744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4"/>
      <c r="O4263" s="251" t="s">
        <v>1074</v>
      </c>
    </row>
    <row r="4264" spans="1:15" hidden="1" x14ac:dyDescent="0.35">
      <c r="A4264" s="249" t="s">
        <v>2744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4"/>
      <c r="O4264" s="251" t="s">
        <v>1074</v>
      </c>
    </row>
    <row r="4265" spans="1:15" hidden="1" x14ac:dyDescent="0.35">
      <c r="A4265" s="249" t="s">
        <v>2744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4"/>
      <c r="O4265" s="251" t="s">
        <v>1074</v>
      </c>
    </row>
    <row r="4266" spans="1:15" hidden="1" x14ac:dyDescent="0.35">
      <c r="A4266" s="249" t="s">
        <v>2745</v>
      </c>
      <c r="B4266" s="151" t="s">
        <v>2222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4"/>
      <c r="O4266" s="251" t="s">
        <v>1074</v>
      </c>
    </row>
    <row r="4267" spans="1:15" hidden="1" x14ac:dyDescent="0.35">
      <c r="A4267" s="249" t="s">
        <v>2745</v>
      </c>
      <c r="B4267" s="151" t="s">
        <v>2222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4"/>
      <c r="O4267" s="251" t="s">
        <v>1074</v>
      </c>
    </row>
    <row r="4268" spans="1:15" hidden="1" x14ac:dyDescent="0.35">
      <c r="A4268" s="249" t="s">
        <v>2745</v>
      </c>
      <c r="B4268" s="151" t="s">
        <v>2222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4"/>
      <c r="O4268" s="251" t="s">
        <v>1074</v>
      </c>
    </row>
    <row r="4269" spans="1:15" hidden="1" x14ac:dyDescent="0.35">
      <c r="A4269" s="249" t="s">
        <v>2745</v>
      </c>
      <c r="B4269" s="151" t="s">
        <v>2222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hidden="1" x14ac:dyDescent="0.35">
      <c r="A4270" s="249" t="s">
        <v>2450</v>
      </c>
      <c r="B4270" s="9" t="s">
        <v>2226</v>
      </c>
      <c r="C4270" s="89">
        <v>44662</v>
      </c>
      <c r="D4270" s="180"/>
      <c r="E4270" s="161" t="s">
        <v>18</v>
      </c>
      <c r="F4270" s="88">
        <v>300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282"/>
      <c r="O4270" s="81"/>
    </row>
    <row r="4271" spans="1:15" hidden="1" x14ac:dyDescent="0.35">
      <c r="A4271" s="249" t="s">
        <v>2450</v>
      </c>
      <c r="B4271" s="9" t="s">
        <v>2226</v>
      </c>
      <c r="C4271" s="89">
        <v>44662</v>
      </c>
      <c r="D4271" s="180"/>
      <c r="E4271" s="161" t="s">
        <v>28</v>
      </c>
      <c r="F4271" s="88">
        <v>300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15</v>
      </c>
      <c r="L4271" s="78"/>
      <c r="M4271" s="80"/>
      <c r="N4271" s="282"/>
      <c r="O4271" s="81"/>
    </row>
    <row r="4272" spans="1:15" hidden="1" x14ac:dyDescent="0.35">
      <c r="A4272" s="249" t="s">
        <v>2743</v>
      </c>
      <c r="B4272" s="322" t="s">
        <v>2080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4"/>
      <c r="O4272" s="251" t="s">
        <v>1074</v>
      </c>
    </row>
    <row r="4273" spans="1:15" hidden="1" x14ac:dyDescent="0.35">
      <c r="A4273" s="249" t="s">
        <v>2746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4"/>
      <c r="O4273" s="251" t="s">
        <v>1074</v>
      </c>
    </row>
    <row r="4274" spans="1:15" hidden="1" x14ac:dyDescent="0.35">
      <c r="A4274" s="249" t="s">
        <v>2746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4"/>
      <c r="O4274" s="251" t="s">
        <v>1074</v>
      </c>
    </row>
    <row r="4275" spans="1:15" hidden="1" x14ac:dyDescent="0.35">
      <c r="A4275" s="249" t="s">
        <v>2450</v>
      </c>
      <c r="B4275" s="150" t="s">
        <v>1966</v>
      </c>
      <c r="C4275" s="89">
        <v>44662</v>
      </c>
      <c r="D4275" s="180"/>
      <c r="E4275" s="261" t="s">
        <v>18</v>
      </c>
      <c r="F4275" s="88">
        <v>600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6</v>
      </c>
      <c r="L4275" s="78"/>
      <c r="M4275" s="80"/>
      <c r="N4275" s="282"/>
      <c r="O4275" s="81"/>
    </row>
    <row r="4276" spans="1:15" hidden="1" x14ac:dyDescent="0.35">
      <c r="A4276" s="249" t="s">
        <v>2450</v>
      </c>
      <c r="B4276" s="9" t="s">
        <v>2449</v>
      </c>
      <c r="C4276" s="89">
        <v>44662</v>
      </c>
      <c r="D4276" s="180"/>
      <c r="E4276" s="261" t="s">
        <v>28</v>
      </c>
      <c r="F4276" s="88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23</v>
      </c>
      <c r="L4276" s="78"/>
      <c r="M4276" s="80"/>
      <c r="N4276" s="282"/>
      <c r="O4276" s="81"/>
    </row>
    <row r="4277" spans="1:15" hidden="1" x14ac:dyDescent="0.35">
      <c r="A4277" s="249" t="s">
        <v>2623</v>
      </c>
      <c r="B4277" s="9" t="s">
        <v>2065</v>
      </c>
      <c r="C4277" s="76">
        <v>44699</v>
      </c>
      <c r="D4277" s="235"/>
      <c r="E4277" s="250" t="s">
        <v>28</v>
      </c>
      <c r="F4277" s="77">
        <v>600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282"/>
      <c r="O4277" s="81"/>
    </row>
    <row r="4278" spans="1:15" hidden="1" x14ac:dyDescent="0.35">
      <c r="A4278" s="249" t="s">
        <v>2623</v>
      </c>
      <c r="B4278" s="9" t="s">
        <v>2065</v>
      </c>
      <c r="C4278" s="76">
        <v>44699</v>
      </c>
      <c r="D4278" s="235"/>
      <c r="E4278" s="250" t="s">
        <v>79</v>
      </c>
      <c r="F4278" s="77">
        <v>576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282"/>
      <c r="O4278" s="81"/>
    </row>
    <row r="4279" spans="1:15" hidden="1" x14ac:dyDescent="0.35">
      <c r="A4279" s="249" t="s">
        <v>2623</v>
      </c>
      <c r="B4279" s="9" t="s">
        <v>2065</v>
      </c>
      <c r="C4279" s="76">
        <v>44699</v>
      </c>
      <c r="D4279" s="235"/>
      <c r="E4279" s="250" t="s">
        <v>39</v>
      </c>
      <c r="F4279" s="77">
        <v>480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282"/>
      <c r="O4279" s="81"/>
    </row>
    <row r="4280" spans="1:15" hidden="1" x14ac:dyDescent="0.35">
      <c r="A4280" s="249" t="s">
        <v>2623</v>
      </c>
      <c r="B4280" s="14" t="s">
        <v>2065</v>
      </c>
      <c r="C4280" s="76">
        <v>44699</v>
      </c>
      <c r="D4280" s="235"/>
      <c r="E4280" s="250" t="s">
        <v>18</v>
      </c>
      <c r="F4280" s="77">
        <v>576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282"/>
      <c r="O4280" s="81"/>
    </row>
    <row r="4281" spans="1:15" hidden="1" x14ac:dyDescent="0.35">
      <c r="A4281" s="249" t="s">
        <v>2725</v>
      </c>
      <c r="B4281" s="326" t="s">
        <v>2724</v>
      </c>
      <c r="C4281" s="76">
        <v>44736</v>
      </c>
      <c r="D4281" s="264"/>
      <c r="E4281" s="250" t="s">
        <v>79</v>
      </c>
      <c r="F4281" s="77">
        <v>100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4"/>
      <c r="O4281" s="81"/>
    </row>
    <row r="4282" spans="1:15" hidden="1" x14ac:dyDescent="0.35">
      <c r="A4282" s="249" t="s">
        <v>2725</v>
      </c>
      <c r="B4282" s="326" t="s">
        <v>2724</v>
      </c>
      <c r="C4282" s="76">
        <v>44736</v>
      </c>
      <c r="D4282" s="264"/>
      <c r="E4282" s="250" t="s">
        <v>39</v>
      </c>
      <c r="F4282" s="77">
        <v>100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4"/>
      <c r="O4282" s="81"/>
    </row>
    <row r="4283" spans="1:15" hidden="1" x14ac:dyDescent="0.35">
      <c r="A4283" s="249" t="s">
        <v>2434</v>
      </c>
      <c r="B4283" s="263" t="s">
        <v>1128</v>
      </c>
      <c r="C4283" s="76">
        <v>44659</v>
      </c>
      <c r="D4283" s="264"/>
      <c r="E4283" s="250" t="s">
        <v>28</v>
      </c>
      <c r="F4283" s="77">
        <v>90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3</v>
      </c>
      <c r="L4283" s="78"/>
      <c r="M4283" s="80"/>
      <c r="N4283" s="282"/>
      <c r="O4283" s="81"/>
    </row>
    <row r="4284" spans="1:15" hidden="1" x14ac:dyDescent="0.35">
      <c r="A4284" s="249" t="s">
        <v>2434</v>
      </c>
      <c r="B4284" s="313" t="s">
        <v>1128</v>
      </c>
      <c r="C4284" s="76">
        <v>44659</v>
      </c>
      <c r="D4284" s="264"/>
      <c r="E4284" s="250" t="s">
        <v>18</v>
      </c>
      <c r="F4284" s="77">
        <v>50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282"/>
      <c r="O4284" s="81"/>
    </row>
    <row r="4285" spans="1:15" hidden="1" x14ac:dyDescent="0.35">
      <c r="A4285" s="249" t="s">
        <v>2434</v>
      </c>
      <c r="B4285" s="313" t="s">
        <v>1128</v>
      </c>
      <c r="C4285" s="76">
        <v>44659</v>
      </c>
      <c r="D4285" s="264"/>
      <c r="E4285" s="250" t="s">
        <v>202</v>
      </c>
      <c r="F4285" s="77">
        <v>50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4</v>
      </c>
      <c r="L4285" s="78"/>
      <c r="M4285" s="80"/>
      <c r="N4285" s="282"/>
      <c r="O4285" s="81"/>
    </row>
    <row r="4286" spans="1:15" hidden="1" x14ac:dyDescent="0.35">
      <c r="A4286" s="249" t="s">
        <v>2434</v>
      </c>
      <c r="B4286" s="313" t="s">
        <v>1128</v>
      </c>
      <c r="C4286" s="76">
        <v>44659</v>
      </c>
      <c r="D4286" s="264"/>
      <c r="E4286" s="250" t="s">
        <v>245</v>
      </c>
      <c r="F4286" s="77">
        <v>50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4</v>
      </c>
      <c r="L4286" s="78"/>
      <c r="M4286" s="80"/>
      <c r="N4286" s="282"/>
      <c r="O4286" s="81"/>
    </row>
    <row r="4287" spans="1:15" hidden="1" x14ac:dyDescent="0.35">
      <c r="A4287" s="249" t="s">
        <v>2434</v>
      </c>
      <c r="B4287" s="313" t="s">
        <v>1128</v>
      </c>
      <c r="C4287" s="76">
        <v>44659</v>
      </c>
      <c r="D4287" s="264"/>
      <c r="E4287" s="250" t="s">
        <v>79</v>
      </c>
      <c r="F4287" s="77">
        <v>100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282"/>
      <c r="O4287" s="81"/>
    </row>
    <row r="4288" spans="1:15" hidden="1" x14ac:dyDescent="0.35">
      <c r="A4288" s="249" t="s">
        <v>2434</v>
      </c>
      <c r="B4288" s="313" t="s">
        <v>2224</v>
      </c>
      <c r="C4288" s="76">
        <v>44659</v>
      </c>
      <c r="D4288" s="264"/>
      <c r="E4288" s="250" t="s">
        <v>28</v>
      </c>
      <c r="F4288" s="77">
        <v>50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1</v>
      </c>
      <c r="L4288" s="78"/>
      <c r="M4288" s="80"/>
      <c r="N4288" s="282"/>
      <c r="O4288" s="81"/>
    </row>
    <row r="4289" spans="1:15" hidden="1" x14ac:dyDescent="0.35">
      <c r="A4289" s="249" t="s">
        <v>2434</v>
      </c>
      <c r="B4289" s="313" t="s">
        <v>2224</v>
      </c>
      <c r="C4289" s="76">
        <v>44659</v>
      </c>
      <c r="D4289" s="264"/>
      <c r="E4289" s="250" t="s">
        <v>18</v>
      </c>
      <c r="F4289" s="77">
        <v>50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15</v>
      </c>
      <c r="L4289" s="78"/>
      <c r="M4289" s="80"/>
      <c r="N4289" s="282"/>
      <c r="O4289" s="81"/>
    </row>
    <row r="4290" spans="1:15" hidden="1" x14ac:dyDescent="0.35">
      <c r="A4290" s="249" t="s">
        <v>2434</v>
      </c>
      <c r="B4290" s="322" t="s">
        <v>2224</v>
      </c>
      <c r="C4290" s="76">
        <v>44659</v>
      </c>
      <c r="D4290" s="264"/>
      <c r="E4290" s="250" t="s">
        <v>202</v>
      </c>
      <c r="F4290" s="77">
        <v>90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12</v>
      </c>
      <c r="L4290" s="78"/>
      <c r="M4290" s="80"/>
      <c r="N4290" s="282"/>
      <c r="O4290" s="81"/>
    </row>
    <row r="4291" spans="1:15" hidden="1" x14ac:dyDescent="0.35">
      <c r="A4291" s="249" t="s">
        <v>2434</v>
      </c>
      <c r="B4291" s="322" t="s">
        <v>2224</v>
      </c>
      <c r="C4291" s="76">
        <v>44659</v>
      </c>
      <c r="D4291" s="264"/>
      <c r="E4291" s="250" t="s">
        <v>245</v>
      </c>
      <c r="F4291" s="77">
        <v>140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4</v>
      </c>
      <c r="L4291" s="78"/>
      <c r="M4291" s="80"/>
      <c r="N4291" s="282"/>
      <c r="O4291" s="81"/>
    </row>
    <row r="4292" spans="1:15" hidden="1" x14ac:dyDescent="0.35">
      <c r="A4292" s="249" t="s">
        <v>2434</v>
      </c>
      <c r="B4292" s="151" t="s">
        <v>2224</v>
      </c>
      <c r="C4292" s="76">
        <v>44659</v>
      </c>
      <c r="D4292" s="264"/>
      <c r="E4292" s="250" t="s">
        <v>79</v>
      </c>
      <c r="F4292" s="77">
        <v>50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2</v>
      </c>
      <c r="L4292" s="78"/>
      <c r="M4292" s="80"/>
      <c r="N4292" s="282"/>
      <c r="O4292" s="81"/>
    </row>
    <row r="4293" spans="1:15" hidden="1" x14ac:dyDescent="0.35">
      <c r="A4293" s="249" t="s">
        <v>2223</v>
      </c>
      <c r="B4293" s="9" t="s">
        <v>1128</v>
      </c>
      <c r="C4293" s="76">
        <v>44604</v>
      </c>
      <c r="D4293" s="264"/>
      <c r="E4293" s="250" t="s">
        <v>39</v>
      </c>
      <c r="F4293" s="77">
        <v>50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265"/>
      <c r="O4293" s="251"/>
    </row>
    <row r="4294" spans="1:15" hidden="1" x14ac:dyDescent="0.35">
      <c r="A4294" s="249" t="s">
        <v>2223</v>
      </c>
      <c r="B4294" s="9" t="s">
        <v>1992</v>
      </c>
      <c r="C4294" s="76">
        <v>44604</v>
      </c>
      <c r="D4294" s="264"/>
      <c r="E4294" s="250" t="s">
        <v>39</v>
      </c>
      <c r="F4294" s="77">
        <v>50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265"/>
      <c r="O4294" s="81"/>
    </row>
    <row r="4295" spans="1:15" hidden="1" x14ac:dyDescent="0.35">
      <c r="A4295" s="249" t="s">
        <v>2223</v>
      </c>
      <c r="B4295" s="9" t="s">
        <v>1043</v>
      </c>
      <c r="C4295" s="76">
        <v>44604</v>
      </c>
      <c r="D4295" s="264"/>
      <c r="E4295" s="250" t="s">
        <v>39</v>
      </c>
      <c r="F4295" s="77">
        <v>50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265"/>
      <c r="O4295" s="81"/>
    </row>
    <row r="4296" spans="1:15" hidden="1" x14ac:dyDescent="0.35">
      <c r="A4296" s="249" t="s">
        <v>2223</v>
      </c>
      <c r="B4296" s="9" t="s">
        <v>2224</v>
      </c>
      <c r="C4296" s="76">
        <v>44604</v>
      </c>
      <c r="D4296" s="264"/>
      <c r="E4296" s="250" t="s">
        <v>39</v>
      </c>
      <c r="F4296" s="77">
        <v>50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265"/>
      <c r="O4296" s="251"/>
    </row>
    <row r="4297" spans="1:15" hidden="1" x14ac:dyDescent="0.35">
      <c r="A4297" s="249" t="s">
        <v>2223</v>
      </c>
      <c r="B4297" s="151" t="s">
        <v>1129</v>
      </c>
      <c r="C4297" s="76">
        <v>44604</v>
      </c>
      <c r="D4297" s="264"/>
      <c r="E4297" s="250" t="s">
        <v>39</v>
      </c>
      <c r="F4297" s="77">
        <v>50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265"/>
      <c r="O4297" s="251"/>
    </row>
    <row r="4298" spans="1:15" hidden="1" x14ac:dyDescent="0.35">
      <c r="A4298" s="249" t="s">
        <v>2223</v>
      </c>
      <c r="B4298" s="151" t="s">
        <v>247</v>
      </c>
      <c r="C4298" s="76">
        <v>44604</v>
      </c>
      <c r="D4298" s="264"/>
      <c r="E4298" s="250" t="s">
        <v>39</v>
      </c>
      <c r="F4298" s="77">
        <v>50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265"/>
      <c r="O4298" s="81"/>
    </row>
    <row r="4299" spans="1:15" hidden="1" x14ac:dyDescent="0.35">
      <c r="A4299" s="249" t="s">
        <v>2708</v>
      </c>
      <c r="B4299" s="250" t="s">
        <v>247</v>
      </c>
      <c r="C4299" s="76">
        <v>44732</v>
      </c>
      <c r="D4299" s="264"/>
      <c r="E4299" s="250" t="s">
        <v>39</v>
      </c>
      <c r="F4299" s="77">
        <v>400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4"/>
      <c r="O4299" s="81"/>
    </row>
    <row r="4300" spans="1:15" hidden="1" x14ac:dyDescent="0.35">
      <c r="A4300" s="249" t="s">
        <v>2708</v>
      </c>
      <c r="B4300" s="313" t="s">
        <v>247</v>
      </c>
      <c r="C4300" s="76">
        <v>44732</v>
      </c>
      <c r="D4300" s="264"/>
      <c r="E4300" s="250" t="s">
        <v>2709</v>
      </c>
      <c r="F4300" s="77">
        <v>400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4"/>
      <c r="O4300" s="81"/>
    </row>
    <row r="4301" spans="1:15" hidden="1" x14ac:dyDescent="0.35">
      <c r="A4301" s="249" t="s">
        <v>2513</v>
      </c>
      <c r="B4301" s="250" t="s">
        <v>1043</v>
      </c>
      <c r="C4301" s="76">
        <v>44674</v>
      </c>
      <c r="D4301" s="264"/>
      <c r="E4301" s="250" t="s">
        <v>245</v>
      </c>
      <c r="F4301" s="77">
        <v>50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282"/>
      <c r="O4301" s="81"/>
    </row>
    <row r="4302" spans="1:15" hidden="1" x14ac:dyDescent="0.35">
      <c r="A4302" s="249" t="s">
        <v>2513</v>
      </c>
      <c r="B4302" s="250" t="s">
        <v>1043</v>
      </c>
      <c r="C4302" s="76">
        <v>44674</v>
      </c>
      <c r="D4302" s="264"/>
      <c r="E4302" s="250" t="s">
        <v>79</v>
      </c>
      <c r="F4302" s="77">
        <v>50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282"/>
      <c r="O4302" s="81"/>
    </row>
    <row r="4303" spans="1:15" hidden="1" x14ac:dyDescent="0.35">
      <c r="A4303" s="249" t="s">
        <v>2513</v>
      </c>
      <c r="B4303" s="151" t="s">
        <v>247</v>
      </c>
      <c r="C4303" s="76">
        <v>44674</v>
      </c>
      <c r="D4303" s="264"/>
      <c r="E4303" s="250" t="s">
        <v>202</v>
      </c>
      <c r="F4303" s="77">
        <v>140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282"/>
      <c r="O4303" s="81"/>
    </row>
    <row r="4304" spans="1:15" hidden="1" x14ac:dyDescent="0.35">
      <c r="A4304" s="249" t="s">
        <v>2513</v>
      </c>
      <c r="B4304" s="151" t="s">
        <v>247</v>
      </c>
      <c r="C4304" s="76">
        <v>44674</v>
      </c>
      <c r="D4304" s="264"/>
      <c r="E4304" s="250" t="s">
        <v>245</v>
      </c>
      <c r="F4304" s="77">
        <v>110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282"/>
      <c r="O4304" s="81"/>
    </row>
    <row r="4305" spans="1:15" hidden="1" x14ac:dyDescent="0.35">
      <c r="A4305" s="249" t="s">
        <v>2513</v>
      </c>
      <c r="B4305" s="322" t="s">
        <v>247</v>
      </c>
      <c r="C4305" s="76">
        <v>44674</v>
      </c>
      <c r="D4305" s="264"/>
      <c r="E4305" s="250" t="s">
        <v>79</v>
      </c>
      <c r="F4305" s="77">
        <v>80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282"/>
      <c r="O4305" s="81"/>
    </row>
    <row r="4306" spans="1:15" hidden="1" x14ac:dyDescent="0.35">
      <c r="A4306" s="249" t="s">
        <v>2347</v>
      </c>
      <c r="B4306" s="150" t="s">
        <v>2346</v>
      </c>
      <c r="C4306" s="76">
        <v>44636</v>
      </c>
      <c r="D4306" s="264"/>
      <c r="E4306" s="250" t="s">
        <v>18</v>
      </c>
      <c r="F4306" s="77">
        <f>1200/4</f>
        <v>300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282"/>
      <c r="O4306" s="81"/>
    </row>
    <row r="4307" spans="1:15" hidden="1" x14ac:dyDescent="0.35">
      <c r="A4307" s="249" t="s">
        <v>2347</v>
      </c>
      <c r="B4307" s="150" t="s">
        <v>2346</v>
      </c>
      <c r="C4307" s="76">
        <v>44636</v>
      </c>
      <c r="D4307" s="264"/>
      <c r="E4307" s="250" t="s">
        <v>39</v>
      </c>
      <c r="F4307" s="77">
        <f>1200/4</f>
        <v>300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282"/>
      <c r="O4307" s="81"/>
    </row>
    <row r="4308" spans="1:15" hidden="1" x14ac:dyDescent="0.35">
      <c r="A4308" s="249" t="s">
        <v>2347</v>
      </c>
      <c r="B4308" s="150" t="s">
        <v>2346</v>
      </c>
      <c r="C4308" s="76">
        <v>44636</v>
      </c>
      <c r="D4308" s="264"/>
      <c r="E4308" s="250" t="s">
        <v>25</v>
      </c>
      <c r="F4308" s="77">
        <f>1200/4</f>
        <v>300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282"/>
      <c r="O4308" s="81"/>
    </row>
    <row r="4309" spans="1:15" hidden="1" x14ac:dyDescent="0.35">
      <c r="A4309" s="249" t="s">
        <v>2347</v>
      </c>
      <c r="B4309" s="9" t="s">
        <v>2346</v>
      </c>
      <c r="C4309" s="76">
        <v>44636</v>
      </c>
      <c r="D4309" s="264"/>
      <c r="E4309" s="250" t="s">
        <v>28</v>
      </c>
      <c r="F4309" s="77">
        <f>1200/4</f>
        <v>300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282"/>
      <c r="O4309" s="81"/>
    </row>
    <row r="4310" spans="1:15" hidden="1" x14ac:dyDescent="0.35">
      <c r="A4310" s="249" t="s">
        <v>2723</v>
      </c>
      <c r="B4310" s="9" t="s">
        <v>1163</v>
      </c>
      <c r="C4310" s="76">
        <v>44735</v>
      </c>
      <c r="D4310" s="264"/>
      <c r="E4310" s="161" t="s">
        <v>79</v>
      </c>
      <c r="F4310" s="88">
        <f>(1200-120)/4</f>
        <v>270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52</v>
      </c>
      <c r="L4310" s="78"/>
      <c r="M4310" s="80"/>
      <c r="N4310" s="324"/>
      <c r="O4310" s="251"/>
    </row>
    <row r="4311" spans="1:15" hidden="1" x14ac:dyDescent="0.35">
      <c r="A4311" s="249" t="s">
        <v>2723</v>
      </c>
      <c r="B4311" s="9" t="s">
        <v>1163</v>
      </c>
      <c r="C4311" s="76">
        <v>44735</v>
      </c>
      <c r="D4311" s="264"/>
      <c r="E4311" s="161" t="s">
        <v>25</v>
      </c>
      <c r="F4311" s="72">
        <f>(1200-120)/4</f>
        <v>270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4"/>
      <c r="O4311" s="251"/>
    </row>
    <row r="4312" spans="1:15" hidden="1" x14ac:dyDescent="0.35">
      <c r="A4312" s="249" t="s">
        <v>2723</v>
      </c>
      <c r="B4312" s="9" t="s">
        <v>1163</v>
      </c>
      <c r="C4312" s="76">
        <v>44735</v>
      </c>
      <c r="D4312" s="264"/>
      <c r="E4312" s="161" t="s">
        <v>18</v>
      </c>
      <c r="F4312" s="88">
        <f>(1200-120)/4</f>
        <v>270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2</v>
      </c>
      <c r="L4312" s="78"/>
      <c r="M4312" s="80"/>
      <c r="N4312" s="324"/>
      <c r="O4312" s="251"/>
    </row>
    <row r="4313" spans="1:15" hidden="1" x14ac:dyDescent="0.35">
      <c r="A4313" s="249" t="s">
        <v>2723</v>
      </c>
      <c r="B4313" s="150" t="s">
        <v>1163</v>
      </c>
      <c r="C4313" s="76">
        <v>44735</v>
      </c>
      <c r="D4313" s="264"/>
      <c r="E4313" s="161" t="s">
        <v>39</v>
      </c>
      <c r="F4313" s="88">
        <f>(1200-120)/4</f>
        <v>270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6</v>
      </c>
      <c r="L4313" s="78"/>
      <c r="M4313" s="80"/>
      <c r="N4313" s="324"/>
      <c r="O4313" s="251"/>
    </row>
    <row r="4314" spans="1:15" hidden="1" x14ac:dyDescent="0.35">
      <c r="A4314" s="249" t="s">
        <v>2723</v>
      </c>
      <c r="B4314" s="9" t="s">
        <v>1163</v>
      </c>
      <c r="C4314" s="76">
        <v>44735</v>
      </c>
      <c r="D4314" s="264"/>
      <c r="E4314" s="161" t="s">
        <v>28</v>
      </c>
      <c r="F4314" s="77">
        <v>120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4"/>
      <c r="O4314" s="81"/>
    </row>
    <row r="4315" spans="1:15" hidden="1" x14ac:dyDescent="0.35">
      <c r="A4315" s="249" t="s">
        <v>2723</v>
      </c>
      <c r="B4315" s="9" t="s">
        <v>1332</v>
      </c>
      <c r="C4315" s="76">
        <v>44735</v>
      </c>
      <c r="D4315" s="264"/>
      <c r="E4315" s="161" t="s">
        <v>79</v>
      </c>
      <c r="F4315" s="88">
        <f>(1200-120)/4</f>
        <v>270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7</v>
      </c>
      <c r="L4315" s="78"/>
      <c r="M4315" s="80"/>
      <c r="N4315" s="324"/>
      <c r="O4315" s="81"/>
    </row>
    <row r="4316" spans="1:15" hidden="1" x14ac:dyDescent="0.35">
      <c r="A4316" s="249" t="s">
        <v>2723</v>
      </c>
      <c r="B4316" s="9" t="s">
        <v>1332</v>
      </c>
      <c r="C4316" s="76">
        <v>44735</v>
      </c>
      <c r="D4316" s="264"/>
      <c r="E4316" s="161" t="s">
        <v>25</v>
      </c>
      <c r="F4316" s="88">
        <f>(1200-120)/4</f>
        <v>270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4"/>
      <c r="O4316" s="81"/>
    </row>
    <row r="4317" spans="1:15" hidden="1" x14ac:dyDescent="0.35">
      <c r="A4317" s="249" t="s">
        <v>2723</v>
      </c>
      <c r="B4317" s="9" t="s">
        <v>1332</v>
      </c>
      <c r="C4317" s="76">
        <v>44735</v>
      </c>
      <c r="D4317" s="264"/>
      <c r="E4317" s="161" t="s">
        <v>18</v>
      </c>
      <c r="F4317" s="88">
        <f>(1200-120)/4</f>
        <v>270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30</v>
      </c>
      <c r="L4317" s="78"/>
      <c r="M4317" s="80"/>
      <c r="N4317" s="324"/>
      <c r="O4317" s="81"/>
    </row>
    <row r="4318" spans="1:15" hidden="1" x14ac:dyDescent="0.35">
      <c r="A4318" s="249" t="s">
        <v>2723</v>
      </c>
      <c r="B4318" s="9" t="s">
        <v>1332</v>
      </c>
      <c r="C4318" s="76">
        <v>44735</v>
      </c>
      <c r="D4318" s="264"/>
      <c r="E4318" s="161" t="s">
        <v>39</v>
      </c>
      <c r="F4318" s="88">
        <f>(1200-120)/4</f>
        <v>270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28</v>
      </c>
      <c r="L4318" s="78"/>
      <c r="M4318" s="80"/>
      <c r="N4318" s="324"/>
      <c r="O4318" s="81"/>
    </row>
    <row r="4319" spans="1:15" hidden="1" x14ac:dyDescent="0.35">
      <c r="A4319" s="249" t="s">
        <v>2723</v>
      </c>
      <c r="B4319" s="150" t="s">
        <v>1332</v>
      </c>
      <c r="C4319" s="76">
        <v>44735</v>
      </c>
      <c r="D4319" s="264"/>
      <c r="E4319" s="161" t="s">
        <v>28</v>
      </c>
      <c r="F4319" s="77">
        <v>120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4"/>
      <c r="O4319" s="81"/>
    </row>
    <row r="4320" spans="1:15" x14ac:dyDescent="0.35">
      <c r="A4320" s="249" t="s">
        <v>2723</v>
      </c>
      <c r="B4320" s="150" t="s">
        <v>2156</v>
      </c>
      <c r="C4320" s="76">
        <v>44735</v>
      </c>
      <c r="D4320" s="264"/>
      <c r="E4320" s="261" t="s">
        <v>2147</v>
      </c>
      <c r="F4320" s="88">
        <f>1200/4</f>
        <v>300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2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4"/>
      <c r="O4320" s="81"/>
    </row>
    <row r="4321" spans="1:15" hidden="1" x14ac:dyDescent="0.35">
      <c r="A4321" s="249" t="s">
        <v>2723</v>
      </c>
      <c r="B4321" s="9" t="s">
        <v>2156</v>
      </c>
      <c r="C4321" s="76">
        <v>44735</v>
      </c>
      <c r="D4321" s="264"/>
      <c r="E4321" s="261" t="s">
        <v>2592</v>
      </c>
      <c r="F4321" s="88">
        <f>1200/4</f>
        <v>300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4"/>
      <c r="O4321" s="81"/>
    </row>
    <row r="4322" spans="1:15" hidden="1" x14ac:dyDescent="0.35">
      <c r="A4322" s="249" t="s">
        <v>2723</v>
      </c>
      <c r="B4322" s="9" t="s">
        <v>2156</v>
      </c>
      <c r="C4322" s="76">
        <v>44735</v>
      </c>
      <c r="D4322" s="264"/>
      <c r="E4322" s="261" t="s">
        <v>2149</v>
      </c>
      <c r="F4322" s="88">
        <f>1200/4</f>
        <v>300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4"/>
      <c r="O4322" s="81"/>
    </row>
    <row r="4323" spans="1:15" hidden="1" x14ac:dyDescent="0.35">
      <c r="A4323" s="249" t="s">
        <v>2723</v>
      </c>
      <c r="B4323" s="9" t="s">
        <v>2156</v>
      </c>
      <c r="C4323" s="76">
        <v>44735</v>
      </c>
      <c r="D4323" s="264"/>
      <c r="E4323" s="261" t="s">
        <v>2150</v>
      </c>
      <c r="F4323" s="88">
        <f>1200/4</f>
        <v>300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4"/>
      <c r="O4323" s="81"/>
    </row>
    <row r="4324" spans="1:15" hidden="1" x14ac:dyDescent="0.35">
      <c r="A4324" s="249" t="s">
        <v>2723</v>
      </c>
      <c r="B4324" s="9" t="s">
        <v>2151</v>
      </c>
      <c r="C4324" s="76">
        <v>44735</v>
      </c>
      <c r="D4324" s="264"/>
      <c r="E4324" s="261" t="s">
        <v>2152</v>
      </c>
      <c r="F4324" s="88">
        <v>100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4"/>
      <c r="O4324" s="81"/>
    </row>
    <row r="4325" spans="1:15" hidden="1" x14ac:dyDescent="0.35">
      <c r="A4325" s="249" t="s">
        <v>2723</v>
      </c>
      <c r="B4325" s="9" t="s">
        <v>2151</v>
      </c>
      <c r="C4325" s="76">
        <v>44735</v>
      </c>
      <c r="D4325" s="264"/>
      <c r="E4325" s="261" t="s">
        <v>2153</v>
      </c>
      <c r="F4325" s="88">
        <v>100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4"/>
      <c r="O4325" s="81"/>
    </row>
    <row r="4326" spans="1:15" hidden="1" x14ac:dyDescent="0.35">
      <c r="A4326" s="249" t="s">
        <v>2723</v>
      </c>
      <c r="B4326" s="9" t="s">
        <v>2151</v>
      </c>
      <c r="C4326" s="76">
        <v>44735</v>
      </c>
      <c r="D4326" s="264"/>
      <c r="E4326" s="261" t="s">
        <v>2154</v>
      </c>
      <c r="F4326" s="88">
        <v>100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4"/>
      <c r="O4326" s="81"/>
    </row>
    <row r="4327" spans="1:15" hidden="1" x14ac:dyDescent="0.35">
      <c r="A4327" s="249" t="s">
        <v>2723</v>
      </c>
      <c r="B4327" s="9" t="s">
        <v>2151</v>
      </c>
      <c r="C4327" s="76">
        <v>44735</v>
      </c>
      <c r="D4327" s="264"/>
      <c r="E4327" s="261" t="s">
        <v>2155</v>
      </c>
      <c r="F4327" s="88">
        <v>100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4"/>
      <c r="O4327" s="81"/>
    </row>
    <row r="4328" spans="1:15" hidden="1" x14ac:dyDescent="0.35">
      <c r="A4328" s="249" t="s">
        <v>2723</v>
      </c>
      <c r="B4328" s="9" t="s">
        <v>2151</v>
      </c>
      <c r="C4328" s="76">
        <v>44735</v>
      </c>
      <c r="D4328" s="264"/>
      <c r="E4328" s="261" t="s">
        <v>253</v>
      </c>
      <c r="F4328" s="88">
        <v>100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4"/>
      <c r="O4328" s="81"/>
    </row>
    <row r="4329" spans="1:15" x14ac:dyDescent="0.35">
      <c r="A4329" s="249" t="s">
        <v>2723</v>
      </c>
      <c r="B4329" s="9" t="s">
        <v>2151</v>
      </c>
      <c r="C4329" s="76">
        <v>44735</v>
      </c>
      <c r="D4329" s="264"/>
      <c r="E4329" s="261" t="s">
        <v>2788</v>
      </c>
      <c r="F4329" s="88">
        <v>100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2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4"/>
      <c r="O4329" s="81"/>
    </row>
    <row r="4330" spans="1:15" hidden="1" x14ac:dyDescent="0.35">
      <c r="A4330" s="249" t="s">
        <v>2775</v>
      </c>
      <c r="B4330" s="250" t="s">
        <v>1442</v>
      </c>
      <c r="C4330" s="76">
        <v>44753</v>
      </c>
      <c r="D4330" s="180"/>
      <c r="E4330" s="161" t="s">
        <v>25</v>
      </c>
      <c r="F4330" s="88">
        <v>240</v>
      </c>
      <c r="G4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4"/>
      <c r="O4330" s="251" t="s">
        <v>1074</v>
      </c>
    </row>
    <row r="4331" spans="1:15" x14ac:dyDescent="0.35">
      <c r="A4331" s="249" t="s">
        <v>2771</v>
      </c>
      <c r="B4331" s="151" t="s">
        <v>772</v>
      </c>
      <c r="C4331" s="76">
        <v>44753</v>
      </c>
      <c r="D4331" s="235"/>
      <c r="E4331" s="250" t="s">
        <v>28</v>
      </c>
      <c r="F4331" s="77">
        <v>600</v>
      </c>
      <c r="G4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3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4"/>
      <c r="O4331" s="81"/>
    </row>
    <row r="4332" spans="1:15" x14ac:dyDescent="0.35">
      <c r="A4332" s="249" t="s">
        <v>2771</v>
      </c>
      <c r="B4332" s="151" t="s">
        <v>582</v>
      </c>
      <c r="C4332" s="76">
        <v>44753</v>
      </c>
      <c r="D4332" s="235"/>
      <c r="E4332" s="250" t="s">
        <v>28</v>
      </c>
      <c r="F4332" s="77">
        <v>600</v>
      </c>
      <c r="G4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33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4"/>
      <c r="O4332" s="81"/>
    </row>
    <row r="4333" spans="1:15" hidden="1" x14ac:dyDescent="0.35">
      <c r="A4333" s="249" t="s">
        <v>2772</v>
      </c>
      <c r="B4333" s="322" t="s">
        <v>1413</v>
      </c>
      <c r="C4333" s="76">
        <v>44649</v>
      </c>
      <c r="D4333" s="235"/>
      <c r="E4333" s="261" t="s">
        <v>18</v>
      </c>
      <c r="F4333" s="88">
        <v>360</v>
      </c>
      <c r="G4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1</v>
      </c>
      <c r="L4333" s="78"/>
      <c r="M4333" s="80"/>
      <c r="N4333" s="324"/>
      <c r="O4333" s="251" t="s">
        <v>1074</v>
      </c>
    </row>
    <row r="4334" spans="1:15" hidden="1" x14ac:dyDescent="0.35">
      <c r="A4334" s="249" t="s">
        <v>2772</v>
      </c>
      <c r="B4334" s="322" t="s">
        <v>1413</v>
      </c>
      <c r="C4334" s="76">
        <v>44649</v>
      </c>
      <c r="D4334" s="235"/>
      <c r="E4334" s="86" t="s">
        <v>25</v>
      </c>
      <c r="F4334" s="88">
        <v>360</v>
      </c>
      <c r="G4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72</v>
      </c>
      <c r="L4334" s="78"/>
      <c r="M4334" s="80"/>
      <c r="N4334" s="324"/>
      <c r="O4334" s="251" t="s">
        <v>1074</v>
      </c>
    </row>
    <row r="4335" spans="1:15" x14ac:dyDescent="0.35">
      <c r="A4335" s="249" t="s">
        <v>2780</v>
      </c>
      <c r="B4335" s="322" t="s">
        <v>2222</v>
      </c>
      <c r="C4335" s="76">
        <v>44754</v>
      </c>
      <c r="D4335" s="180"/>
      <c r="E4335" s="86" t="s">
        <v>39</v>
      </c>
      <c r="F4335" s="88">
        <v>240</v>
      </c>
      <c r="G4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3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4"/>
      <c r="O4335" s="81"/>
    </row>
    <row r="4336" spans="1:15" x14ac:dyDescent="0.35">
      <c r="A4336" s="249" t="s">
        <v>2780</v>
      </c>
      <c r="B4336" s="322" t="s">
        <v>2222</v>
      </c>
      <c r="C4336" s="76">
        <v>44754</v>
      </c>
      <c r="D4336" s="180"/>
      <c r="E4336" s="86" t="s">
        <v>18</v>
      </c>
      <c r="F4336" s="88">
        <v>360</v>
      </c>
      <c r="G4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3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4"/>
      <c r="O4336" s="81"/>
    </row>
    <row r="4337" spans="1:15" x14ac:dyDescent="0.35">
      <c r="A4337" s="249" t="s">
        <v>2780</v>
      </c>
      <c r="B4337" s="322" t="s">
        <v>2222</v>
      </c>
      <c r="C4337" s="76">
        <v>44754</v>
      </c>
      <c r="D4337" s="207"/>
      <c r="E4337" s="181" t="s">
        <v>25</v>
      </c>
      <c r="F4337" s="72">
        <v>360</v>
      </c>
      <c r="G4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4"/>
      <c r="O4337" s="81"/>
    </row>
    <row r="4338" spans="1:15" x14ac:dyDescent="0.35">
      <c r="A4338" s="249" t="s">
        <v>2780</v>
      </c>
      <c r="B4338" s="322" t="s">
        <v>2222</v>
      </c>
      <c r="C4338" s="76">
        <v>44754</v>
      </c>
      <c r="D4338" s="180"/>
      <c r="E4338" s="86" t="s">
        <v>28</v>
      </c>
      <c r="F4338" s="88">
        <v>240</v>
      </c>
      <c r="G4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3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4"/>
      <c r="O4338" s="81"/>
    </row>
    <row r="4339" spans="1:15" hidden="1" x14ac:dyDescent="0.35">
      <c r="A4339" s="249" t="s">
        <v>2774</v>
      </c>
      <c r="B4339" s="151" t="s">
        <v>1438</v>
      </c>
      <c r="C4339" s="76">
        <v>44754</v>
      </c>
      <c r="D4339" s="180"/>
      <c r="E4339" s="86" t="s">
        <v>39</v>
      </c>
      <c r="F4339" s="88">
        <v>240</v>
      </c>
      <c r="G4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4"/>
      <c r="O4339" s="81"/>
    </row>
    <row r="4340" spans="1:15" x14ac:dyDescent="0.35">
      <c r="A4340" s="249" t="s">
        <v>2774</v>
      </c>
      <c r="B4340" s="151" t="s">
        <v>1438</v>
      </c>
      <c r="C4340" s="76">
        <v>44754</v>
      </c>
      <c r="D4340" s="180"/>
      <c r="E4340" s="86" t="s">
        <v>28</v>
      </c>
      <c r="F4340" s="88">
        <v>240</v>
      </c>
      <c r="G4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34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4"/>
      <c r="O4340" s="81"/>
    </row>
    <row r="4341" spans="1:15" x14ac:dyDescent="0.35">
      <c r="A4341" s="249" t="s">
        <v>2774</v>
      </c>
      <c r="B4341" s="151" t="s">
        <v>1438</v>
      </c>
      <c r="C4341" s="76">
        <v>44754</v>
      </c>
      <c r="D4341" s="180"/>
      <c r="E4341" s="86" t="s">
        <v>25</v>
      </c>
      <c r="F4341" s="88">
        <v>360</v>
      </c>
      <c r="G4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4"/>
      <c r="O4341" s="81"/>
    </row>
    <row r="4342" spans="1:15" x14ac:dyDescent="0.35">
      <c r="A4342" s="249" t="s">
        <v>2774</v>
      </c>
      <c r="B4342" s="151" t="s">
        <v>1438</v>
      </c>
      <c r="C4342" s="76">
        <v>44754</v>
      </c>
      <c r="D4342" s="180"/>
      <c r="E4342" s="86" t="s">
        <v>18</v>
      </c>
      <c r="F4342" s="88">
        <v>360</v>
      </c>
      <c r="G4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4"/>
      <c r="O4342" s="81"/>
    </row>
    <row r="4343" spans="1:15" hidden="1" x14ac:dyDescent="0.35">
      <c r="A4343" s="249" t="s">
        <v>2776</v>
      </c>
      <c r="B4343" s="320" t="s">
        <v>1442</v>
      </c>
      <c r="C4343" s="76">
        <v>44754</v>
      </c>
      <c r="D4343" s="180"/>
      <c r="E4343" s="86" t="s">
        <v>39</v>
      </c>
      <c r="F4343" s="88">
        <v>240</v>
      </c>
      <c r="G4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4"/>
      <c r="O4343" s="81"/>
    </row>
    <row r="4344" spans="1:15" hidden="1" x14ac:dyDescent="0.35">
      <c r="A4344" s="249" t="s">
        <v>2776</v>
      </c>
      <c r="B4344" s="320" t="s">
        <v>1442</v>
      </c>
      <c r="C4344" s="76">
        <v>44754</v>
      </c>
      <c r="D4344" s="180"/>
      <c r="E4344" s="86" t="s">
        <v>28</v>
      </c>
      <c r="F4344" s="88">
        <v>240</v>
      </c>
      <c r="G4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4"/>
      <c r="O4344" s="81"/>
    </row>
    <row r="4345" spans="1:15" x14ac:dyDescent="0.35">
      <c r="A4345" s="249" t="s">
        <v>2776</v>
      </c>
      <c r="B4345" s="320" t="s">
        <v>1442</v>
      </c>
      <c r="C4345" s="76">
        <v>44754</v>
      </c>
      <c r="D4345" s="180"/>
      <c r="E4345" s="161" t="s">
        <v>25</v>
      </c>
      <c r="F4345" s="88">
        <v>360</v>
      </c>
      <c r="G4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4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4"/>
      <c r="O4345" s="81"/>
    </row>
    <row r="4346" spans="1:15" x14ac:dyDescent="0.35">
      <c r="A4346" s="249" t="s">
        <v>2776</v>
      </c>
      <c r="B4346" s="320" t="s">
        <v>1442</v>
      </c>
      <c r="C4346" s="76">
        <v>44754</v>
      </c>
      <c r="D4346" s="180"/>
      <c r="E4346" s="161" t="s">
        <v>18</v>
      </c>
      <c r="F4346" s="88">
        <v>360</v>
      </c>
      <c r="G4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34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4"/>
      <c r="O4346" s="81"/>
    </row>
    <row r="4347" spans="1:15" hidden="1" x14ac:dyDescent="0.35">
      <c r="A4347" s="249" t="s">
        <v>2777</v>
      </c>
      <c r="B4347" s="250" t="s">
        <v>1510</v>
      </c>
      <c r="C4347" s="76">
        <v>44754</v>
      </c>
      <c r="D4347" s="180"/>
      <c r="E4347" s="86" t="s">
        <v>28</v>
      </c>
      <c r="F4347" s="88">
        <v>240</v>
      </c>
      <c r="G4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4"/>
      <c r="O4347" s="81"/>
    </row>
    <row r="4348" spans="1:15" hidden="1" x14ac:dyDescent="0.35">
      <c r="A4348" s="249" t="s">
        <v>2777</v>
      </c>
      <c r="B4348" s="250" t="s">
        <v>1510</v>
      </c>
      <c r="C4348" s="76">
        <v>44754</v>
      </c>
      <c r="D4348" s="180"/>
      <c r="E4348" s="161" t="s">
        <v>25</v>
      </c>
      <c r="F4348" s="88">
        <v>360</v>
      </c>
      <c r="G4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4"/>
      <c r="O4348" s="81"/>
    </row>
    <row r="4349" spans="1:15" x14ac:dyDescent="0.35">
      <c r="A4349" s="249" t="s">
        <v>2777</v>
      </c>
      <c r="B4349" s="250" t="s">
        <v>1510</v>
      </c>
      <c r="C4349" s="76">
        <v>44754</v>
      </c>
      <c r="D4349" s="180"/>
      <c r="E4349" s="86" t="s">
        <v>39</v>
      </c>
      <c r="F4349" s="88">
        <v>240</v>
      </c>
      <c r="G4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4"/>
      <c r="O4349" s="81"/>
    </row>
    <row r="4350" spans="1:15" x14ac:dyDescent="0.35">
      <c r="A4350" s="249" t="s">
        <v>2777</v>
      </c>
      <c r="B4350" s="250" t="s">
        <v>1510</v>
      </c>
      <c r="C4350" s="76">
        <v>44754</v>
      </c>
      <c r="D4350" s="180"/>
      <c r="E4350" s="161" t="s">
        <v>18</v>
      </c>
      <c r="F4350" s="88">
        <v>360</v>
      </c>
      <c r="G4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5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4"/>
      <c r="O4350" s="81"/>
    </row>
    <row r="4351" spans="1:15" hidden="1" x14ac:dyDescent="0.35">
      <c r="A4351" s="249" t="s">
        <v>2778</v>
      </c>
      <c r="B4351" s="161" t="s">
        <v>1687</v>
      </c>
      <c r="C4351" s="76">
        <v>44529</v>
      </c>
      <c r="D4351" s="180"/>
      <c r="E4351" s="86" t="s">
        <v>18</v>
      </c>
      <c r="F4351" s="88">
        <v>360</v>
      </c>
      <c r="G4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4"/>
      <c r="O4351" s="251" t="s">
        <v>1074</v>
      </c>
    </row>
    <row r="4352" spans="1:15" x14ac:dyDescent="0.35">
      <c r="A4352" s="249" t="s">
        <v>2780</v>
      </c>
      <c r="B4352" s="322" t="s">
        <v>2222</v>
      </c>
      <c r="C4352" s="76">
        <v>44754</v>
      </c>
      <c r="D4352" s="180"/>
      <c r="E4352" s="261" t="s">
        <v>79</v>
      </c>
      <c r="F4352" s="88">
        <v>240</v>
      </c>
      <c r="G4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35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4"/>
      <c r="O4352" s="81"/>
    </row>
    <row r="4353" spans="1:15" x14ac:dyDescent="0.35">
      <c r="A4353" s="249" t="s">
        <v>2781</v>
      </c>
      <c r="B4353" s="9" t="s">
        <v>2297</v>
      </c>
      <c r="C4353" s="76">
        <v>44755</v>
      </c>
      <c r="D4353" s="264"/>
      <c r="E4353" s="250" t="s">
        <v>79</v>
      </c>
      <c r="F4353" s="77">
        <v>360</v>
      </c>
      <c r="G4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35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4"/>
      <c r="O4353" s="81"/>
    </row>
    <row r="4354" spans="1:15" hidden="1" x14ac:dyDescent="0.35">
      <c r="A4354" s="249" t="s">
        <v>2781</v>
      </c>
      <c r="B4354" s="9" t="s">
        <v>2297</v>
      </c>
      <c r="C4354" s="76">
        <v>44755</v>
      </c>
      <c r="D4354" s="264"/>
      <c r="E4354" s="250" t="s">
        <v>135</v>
      </c>
      <c r="F4354" s="77">
        <v>360</v>
      </c>
      <c r="G4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4"/>
      <c r="O4354" s="81"/>
    </row>
    <row r="4355" spans="1:15" x14ac:dyDescent="0.35">
      <c r="A4355" s="249" t="s">
        <v>2782</v>
      </c>
      <c r="B4355" s="151" t="s">
        <v>2080</v>
      </c>
      <c r="C4355" s="76">
        <v>44755</v>
      </c>
      <c r="D4355" s="235"/>
      <c r="E4355" s="250" t="s">
        <v>39</v>
      </c>
      <c r="F4355" s="77">
        <v>600</v>
      </c>
      <c r="G4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35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4"/>
      <c r="O4355" s="81"/>
    </row>
    <row r="4356" spans="1:15" x14ac:dyDescent="0.35">
      <c r="A4356" s="249" t="s">
        <v>2782</v>
      </c>
      <c r="B4356" s="151" t="s">
        <v>2080</v>
      </c>
      <c r="C4356" s="76">
        <v>44755</v>
      </c>
      <c r="D4356" s="235"/>
      <c r="E4356" s="250" t="s">
        <v>28</v>
      </c>
      <c r="F4356" s="77">
        <v>1200</v>
      </c>
      <c r="G4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5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4"/>
      <c r="O4356" s="81"/>
    </row>
    <row r="4357" spans="1:15" x14ac:dyDescent="0.35">
      <c r="A4357" s="249" t="s">
        <v>2783</v>
      </c>
      <c r="B4357" s="321" t="s">
        <v>1596</v>
      </c>
      <c r="C4357" s="76">
        <v>44755</v>
      </c>
      <c r="D4357" s="180"/>
      <c r="E4357" s="86" t="s">
        <v>25</v>
      </c>
      <c r="F4357" s="88">
        <v>360</v>
      </c>
      <c r="G4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35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4"/>
      <c r="O4357" s="81"/>
    </row>
    <row r="4358" spans="1:15" hidden="1" x14ac:dyDescent="0.35">
      <c r="A4358" s="249" t="s">
        <v>2783</v>
      </c>
      <c r="B4358" s="321" t="s">
        <v>1596</v>
      </c>
      <c r="C4358" s="76">
        <v>44755</v>
      </c>
      <c r="D4358" s="180"/>
      <c r="E4358" s="86" t="s">
        <v>39</v>
      </c>
      <c r="F4358" s="88">
        <v>240</v>
      </c>
      <c r="G4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4"/>
      <c r="O4358" s="81"/>
    </row>
    <row r="4359" spans="1:15" hidden="1" x14ac:dyDescent="0.35">
      <c r="A4359" s="249" t="s">
        <v>2783</v>
      </c>
      <c r="B4359" s="321" t="s">
        <v>1596</v>
      </c>
      <c r="C4359" s="76">
        <v>44755</v>
      </c>
      <c r="D4359" s="180"/>
      <c r="E4359" s="86" t="s">
        <v>28</v>
      </c>
      <c r="F4359" s="88">
        <v>240</v>
      </c>
      <c r="G4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4"/>
      <c r="O4359" s="81"/>
    </row>
    <row r="4360" spans="1:15" hidden="1" x14ac:dyDescent="0.35">
      <c r="A4360" s="249" t="s">
        <v>2783</v>
      </c>
      <c r="B4360" s="321" t="s">
        <v>1596</v>
      </c>
      <c r="C4360" s="76">
        <v>44755</v>
      </c>
      <c r="D4360" s="180"/>
      <c r="E4360" s="86" t="s">
        <v>18</v>
      </c>
      <c r="F4360" s="88">
        <v>360</v>
      </c>
      <c r="G4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4"/>
      <c r="O4360" s="81"/>
    </row>
    <row r="4361" spans="1:15" x14ac:dyDescent="0.35">
      <c r="A4361" s="249" t="s">
        <v>2784</v>
      </c>
      <c r="B4361" s="151" t="s">
        <v>1060</v>
      </c>
      <c r="C4361" s="76">
        <v>44756</v>
      </c>
      <c r="D4361" s="180"/>
      <c r="E4361" s="86" t="s">
        <v>39</v>
      </c>
      <c r="F4361" s="88">
        <v>240</v>
      </c>
      <c r="G4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36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4"/>
      <c r="O4361" s="81"/>
    </row>
    <row r="4362" spans="1:15" hidden="1" x14ac:dyDescent="0.35">
      <c r="A4362" s="249" t="s">
        <v>2784</v>
      </c>
      <c r="B4362" s="151" t="s">
        <v>1060</v>
      </c>
      <c r="C4362" s="76">
        <v>44756</v>
      </c>
      <c r="D4362" s="180"/>
      <c r="E4362" s="86" t="s">
        <v>28</v>
      </c>
      <c r="F4362" s="88">
        <v>240</v>
      </c>
      <c r="G4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4"/>
      <c r="O4362" s="81"/>
    </row>
    <row r="4363" spans="1:15" hidden="1" x14ac:dyDescent="0.35">
      <c r="A4363" s="249" t="s">
        <v>2784</v>
      </c>
      <c r="B4363" s="151" t="s">
        <v>1060</v>
      </c>
      <c r="C4363" s="76">
        <v>44756</v>
      </c>
      <c r="D4363" s="180"/>
      <c r="E4363" s="161" t="s">
        <v>25</v>
      </c>
      <c r="F4363" s="72">
        <v>360</v>
      </c>
      <c r="G4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4"/>
      <c r="O4363" s="81"/>
    </row>
    <row r="4364" spans="1:15" hidden="1" x14ac:dyDescent="0.35">
      <c r="A4364" s="249" t="s">
        <v>2784</v>
      </c>
      <c r="B4364" s="151" t="s">
        <v>1060</v>
      </c>
      <c r="C4364" s="76">
        <v>44756</v>
      </c>
      <c r="D4364" s="180"/>
      <c r="E4364" s="86" t="s">
        <v>18</v>
      </c>
      <c r="F4364" s="88">
        <v>360</v>
      </c>
      <c r="G4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4"/>
      <c r="O4364" s="81"/>
    </row>
    <row r="4365" spans="1:15" x14ac:dyDescent="0.35">
      <c r="A4365" s="249" t="s">
        <v>2785</v>
      </c>
      <c r="B4365" s="322" t="s">
        <v>30</v>
      </c>
      <c r="C4365" s="76">
        <v>44756</v>
      </c>
      <c r="D4365" s="180"/>
      <c r="E4365" s="86" t="s">
        <v>39</v>
      </c>
      <c r="F4365" s="88">
        <v>240</v>
      </c>
      <c r="G4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6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4"/>
      <c r="O4365" s="81"/>
    </row>
    <row r="4366" spans="1:15" x14ac:dyDescent="0.35">
      <c r="A4366" s="249" t="s">
        <v>2785</v>
      </c>
      <c r="B4366" s="322" t="s">
        <v>30</v>
      </c>
      <c r="C4366" s="76">
        <v>44756</v>
      </c>
      <c r="D4366" s="180"/>
      <c r="E4366" s="86" t="s">
        <v>28</v>
      </c>
      <c r="F4366" s="88">
        <v>240</v>
      </c>
      <c r="G4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6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4"/>
      <c r="O4366" s="81"/>
    </row>
    <row r="4367" spans="1:15" hidden="1" x14ac:dyDescent="0.35">
      <c r="A4367" s="249" t="s">
        <v>2785</v>
      </c>
      <c r="B4367" s="322" t="s">
        <v>30</v>
      </c>
      <c r="C4367" s="76">
        <v>44756</v>
      </c>
      <c r="D4367" s="180"/>
      <c r="E4367" s="86" t="s">
        <v>18</v>
      </c>
      <c r="F4367" s="88">
        <v>360</v>
      </c>
      <c r="G4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4"/>
      <c r="O4367" s="81"/>
    </row>
    <row r="4368" spans="1:15" hidden="1" x14ac:dyDescent="0.35">
      <c r="A4368" s="249" t="s">
        <v>2785</v>
      </c>
      <c r="B4368" s="322" t="s">
        <v>30</v>
      </c>
      <c r="C4368" s="76">
        <v>44756</v>
      </c>
      <c r="D4368" s="180"/>
      <c r="E4368" s="261" t="s">
        <v>25</v>
      </c>
      <c r="F4368" s="88">
        <v>360</v>
      </c>
      <c r="G4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4"/>
      <c r="O4368" s="81"/>
    </row>
    <row r="4369" spans="1:15" x14ac:dyDescent="0.35">
      <c r="A4369" s="249" t="s">
        <v>2786</v>
      </c>
      <c r="B4369" s="161" t="s">
        <v>238</v>
      </c>
      <c r="C4369" s="76">
        <v>44753</v>
      </c>
      <c r="D4369" s="235"/>
      <c r="E4369" s="261" t="s">
        <v>18</v>
      </c>
      <c r="F4369" s="88">
        <v>1000</v>
      </c>
      <c r="G4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36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4"/>
      <c r="O4369" s="81"/>
    </row>
    <row r="4370" spans="1:15" x14ac:dyDescent="0.35">
      <c r="A4370" s="249" t="s">
        <v>2787</v>
      </c>
      <c r="B4370" s="261" t="s">
        <v>24</v>
      </c>
      <c r="C4370" s="76">
        <v>44756</v>
      </c>
      <c r="D4370" s="180"/>
      <c r="E4370" s="86" t="s">
        <v>25</v>
      </c>
      <c r="F4370" s="88">
        <v>360</v>
      </c>
      <c r="G4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7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4"/>
      <c r="O4370" s="81"/>
    </row>
    <row r="4371" spans="1:15" hidden="1" x14ac:dyDescent="0.35">
      <c r="A4371" s="249" t="s">
        <v>2787</v>
      </c>
      <c r="B4371" s="261" t="s">
        <v>24</v>
      </c>
      <c r="C4371" s="76">
        <v>44756</v>
      </c>
      <c r="D4371" s="180"/>
      <c r="E4371" s="86" t="s">
        <v>39</v>
      </c>
      <c r="F4371" s="88">
        <v>240</v>
      </c>
      <c r="G4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4"/>
      <c r="O4371" s="81"/>
    </row>
    <row r="4372" spans="1:15" hidden="1" x14ac:dyDescent="0.35">
      <c r="A4372" s="249" t="s">
        <v>2787</v>
      </c>
      <c r="B4372" s="261" t="s">
        <v>24</v>
      </c>
      <c r="C4372" s="76">
        <v>44756</v>
      </c>
      <c r="D4372" s="180"/>
      <c r="E4372" s="86" t="s">
        <v>28</v>
      </c>
      <c r="F4372" s="88">
        <v>240</v>
      </c>
      <c r="G4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4"/>
      <c r="O4372" s="81"/>
    </row>
    <row r="4373" spans="1:15" hidden="1" x14ac:dyDescent="0.35">
      <c r="A4373" s="249" t="s">
        <v>2787</v>
      </c>
      <c r="B4373" s="261" t="s">
        <v>24</v>
      </c>
      <c r="C4373" s="76">
        <v>44756</v>
      </c>
      <c r="D4373" s="180"/>
      <c r="E4373" s="86" t="s">
        <v>18</v>
      </c>
      <c r="F4373" s="88">
        <v>360</v>
      </c>
      <c r="G4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4"/>
      <c r="O4373" s="81"/>
    </row>
    <row r="4374" spans="1:15" x14ac:dyDescent="0.35">
      <c r="A4374" s="249" t="s">
        <v>2761</v>
      </c>
      <c r="B4374" s="9" t="s">
        <v>2766</v>
      </c>
      <c r="C4374" s="76">
        <v>44736</v>
      </c>
      <c r="D4374" s="264"/>
      <c r="E4374" s="250" t="s">
        <v>18</v>
      </c>
      <c r="F4374" s="77">
        <v>300</v>
      </c>
      <c r="G4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7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4"/>
      <c r="O4374" s="81"/>
    </row>
    <row r="4375" spans="1:15" hidden="1" x14ac:dyDescent="0.35">
      <c r="A4375" s="249" t="s">
        <v>2789</v>
      </c>
      <c r="B4375" s="261" t="s">
        <v>231</v>
      </c>
      <c r="C4375" s="76">
        <v>44757</v>
      </c>
      <c r="D4375" s="180"/>
      <c r="E4375" s="86" t="s">
        <v>25</v>
      </c>
      <c r="F4375" s="88">
        <v>360</v>
      </c>
      <c r="G4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4"/>
      <c r="O4375" s="81"/>
    </row>
    <row r="4376" spans="1:15" hidden="1" x14ac:dyDescent="0.35">
      <c r="A4376" s="249" t="s">
        <v>2789</v>
      </c>
      <c r="B4376" s="261" t="s">
        <v>231</v>
      </c>
      <c r="C4376" s="76">
        <v>44757</v>
      </c>
      <c r="D4376" s="180"/>
      <c r="E4376" s="86" t="s">
        <v>39</v>
      </c>
      <c r="F4376" s="88">
        <v>240</v>
      </c>
      <c r="G4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4"/>
      <c r="O4376" s="81"/>
    </row>
    <row r="4377" spans="1:15" hidden="1" x14ac:dyDescent="0.35">
      <c r="A4377" s="249" t="s">
        <v>2789</v>
      </c>
      <c r="B4377" s="261" t="s">
        <v>231</v>
      </c>
      <c r="C4377" s="76">
        <v>44757</v>
      </c>
      <c r="D4377" s="180"/>
      <c r="E4377" s="86" t="s">
        <v>28</v>
      </c>
      <c r="F4377" s="88">
        <v>240</v>
      </c>
      <c r="G4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4"/>
      <c r="O4377" s="81"/>
    </row>
    <row r="4378" spans="1:15" x14ac:dyDescent="0.35">
      <c r="A4378" s="249" t="s">
        <v>2789</v>
      </c>
      <c r="B4378" s="261" t="s">
        <v>231</v>
      </c>
      <c r="C4378" s="76">
        <v>44757</v>
      </c>
      <c r="D4378" s="180"/>
      <c r="E4378" s="86" t="s">
        <v>18</v>
      </c>
      <c r="F4378" s="88">
        <v>360</v>
      </c>
      <c r="G4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7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4"/>
      <c r="O4378" s="81"/>
    </row>
    <row r="4379" spans="1:15" hidden="1" x14ac:dyDescent="0.35">
      <c r="A4379" s="249" t="s">
        <v>2791</v>
      </c>
      <c r="B4379" s="9" t="s">
        <v>2790</v>
      </c>
      <c r="C4379" s="76">
        <v>44757</v>
      </c>
      <c r="D4379" s="264"/>
      <c r="E4379" s="157" t="s">
        <v>18</v>
      </c>
      <c r="F4379" s="88">
        <v>360</v>
      </c>
      <c r="G4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4"/>
      <c r="O4379" s="81"/>
    </row>
    <row r="4380" spans="1:15" x14ac:dyDescent="0.35">
      <c r="A4380" s="249" t="s">
        <v>2791</v>
      </c>
      <c r="B4380" s="9" t="s">
        <v>2790</v>
      </c>
      <c r="C4380" s="76">
        <v>44757</v>
      </c>
      <c r="D4380" s="264"/>
      <c r="E4380" s="157" t="s">
        <v>28</v>
      </c>
      <c r="F4380" s="88">
        <v>240</v>
      </c>
      <c r="G4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8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4"/>
      <c r="O4380" s="81"/>
    </row>
    <row r="4381" spans="1:15" hidden="1" x14ac:dyDescent="0.35">
      <c r="A4381" s="249" t="s">
        <v>2791</v>
      </c>
      <c r="B4381" s="9" t="s">
        <v>2790</v>
      </c>
      <c r="C4381" s="76">
        <v>44757</v>
      </c>
      <c r="D4381" s="264"/>
      <c r="E4381" s="157" t="s">
        <v>39</v>
      </c>
      <c r="F4381" s="88">
        <v>240</v>
      </c>
      <c r="G4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4"/>
      <c r="O4381" s="81"/>
    </row>
    <row r="4382" spans="1:15" hidden="1" x14ac:dyDescent="0.35">
      <c r="A4382" s="249" t="s">
        <v>2791</v>
      </c>
      <c r="B4382" s="9" t="s">
        <v>2790</v>
      </c>
      <c r="C4382" s="76">
        <v>44757</v>
      </c>
      <c r="D4382" s="264"/>
      <c r="E4382" s="157" t="s">
        <v>25</v>
      </c>
      <c r="F4382" s="88">
        <v>360</v>
      </c>
      <c r="G4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4"/>
      <c r="O4382" s="81"/>
    </row>
    <row r="4383" spans="1:15" x14ac:dyDescent="0.35">
      <c r="A4383" s="249" t="s">
        <v>2792</v>
      </c>
      <c r="B4383" s="316" t="s">
        <v>1306</v>
      </c>
      <c r="C4383" s="76">
        <v>44757</v>
      </c>
      <c r="D4383" s="264"/>
      <c r="E4383" s="250" t="s">
        <v>28</v>
      </c>
      <c r="F4383" s="77">
        <v>600</v>
      </c>
      <c r="G4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</v>
      </c>
      <c r="H43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4"/>
      <c r="O4383" s="81"/>
    </row>
    <row r="4384" spans="1:15" hidden="1" x14ac:dyDescent="0.35">
      <c r="A4384" s="249" t="s">
        <v>2793</v>
      </c>
      <c r="B4384" s="9" t="s">
        <v>1127</v>
      </c>
      <c r="C4384" s="76">
        <v>44754</v>
      </c>
      <c r="D4384" s="264"/>
      <c r="E4384" s="250" t="s">
        <v>18</v>
      </c>
      <c r="F4384" s="77">
        <v>60</v>
      </c>
      <c r="G4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4"/>
      <c r="O4384" s="81"/>
    </row>
    <row r="4385" spans="1:15" hidden="1" x14ac:dyDescent="0.35">
      <c r="A4385" s="249" t="s">
        <v>2793</v>
      </c>
      <c r="B4385" s="9" t="s">
        <v>1127</v>
      </c>
      <c r="C4385" s="76">
        <v>44754</v>
      </c>
      <c r="D4385" s="264"/>
      <c r="E4385" s="250" t="s">
        <v>28</v>
      </c>
      <c r="F4385" s="77">
        <v>120</v>
      </c>
      <c r="G4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4"/>
      <c r="O4385" s="81"/>
    </row>
    <row r="4386" spans="1:15" x14ac:dyDescent="0.35">
      <c r="A4386" s="249" t="s">
        <v>2793</v>
      </c>
      <c r="B4386" s="9" t="s">
        <v>1127</v>
      </c>
      <c r="C4386" s="76">
        <v>44754</v>
      </c>
      <c r="D4386" s="264"/>
      <c r="E4386" s="250" t="s">
        <v>135</v>
      </c>
      <c r="F4386" s="77">
        <v>120</v>
      </c>
      <c r="G4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8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4"/>
      <c r="O4386" s="81"/>
    </row>
    <row r="4387" spans="1:15" hidden="1" x14ac:dyDescent="0.35">
      <c r="A4387" s="188"/>
      <c r="B4387" s="316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4"/>
      <c r="O4387" s="81"/>
    </row>
    <row r="4388" spans="1:15" hidden="1" x14ac:dyDescent="0.35">
      <c r="A4388" s="188"/>
      <c r="B4388" s="189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4"/>
      <c r="O4388" s="81"/>
    </row>
    <row r="4389" spans="1:15" hidden="1" x14ac:dyDescent="0.35">
      <c r="A4389" s="188"/>
      <c r="B4389" s="189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4"/>
      <c r="O4389" s="81"/>
    </row>
    <row r="4390" spans="1:15" hidden="1" x14ac:dyDescent="0.35">
      <c r="A4390" s="188"/>
      <c r="B4390" s="316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4"/>
      <c r="O4390" s="81"/>
    </row>
    <row r="4391" spans="1:15" hidden="1" x14ac:dyDescent="0.35">
      <c r="A4391" s="188"/>
      <c r="B4391" s="189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4"/>
      <c r="O4391" s="81"/>
    </row>
    <row r="4392" spans="1:15" hidden="1" x14ac:dyDescent="0.35">
      <c r="A4392" s="188"/>
      <c r="B4392" s="316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4"/>
      <c r="O4392" s="81"/>
    </row>
    <row r="4393" spans="1:15" hidden="1" x14ac:dyDescent="0.35">
      <c r="A4393" s="188"/>
      <c r="B4393" s="189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4"/>
      <c r="O4393" s="81"/>
    </row>
    <row r="4394" spans="1:15" hidden="1" x14ac:dyDescent="0.35">
      <c r="A4394" s="188"/>
      <c r="B4394" s="316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4"/>
      <c r="O4394" s="81"/>
    </row>
    <row r="4395" spans="1:15" hidden="1" x14ac:dyDescent="0.35">
      <c r="A4395" s="188"/>
      <c r="B4395" s="316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4"/>
      <c r="O4395" s="81"/>
    </row>
    <row r="4396" spans="1:15" hidden="1" x14ac:dyDescent="0.35">
      <c r="A4396" s="188"/>
      <c r="B4396" s="316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4"/>
      <c r="O4396" s="81"/>
    </row>
    <row r="4397" spans="1:15" hidden="1" x14ac:dyDescent="0.35">
      <c r="A4397" s="188"/>
      <c r="B4397" s="316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4"/>
      <c r="O4397" s="81"/>
    </row>
    <row r="4398" spans="1:15" hidden="1" x14ac:dyDescent="0.3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4"/>
      <c r="O4398" s="81"/>
    </row>
    <row r="4399" spans="1:15" hidden="1" x14ac:dyDescent="0.3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4"/>
      <c r="O4399" s="81"/>
    </row>
    <row r="4400" spans="1:15" hidden="1" x14ac:dyDescent="0.3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4"/>
      <c r="O4400" s="81"/>
    </row>
    <row r="4401" spans="1:15" hidden="1" x14ac:dyDescent="0.3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4"/>
      <c r="O4401" s="81"/>
    </row>
    <row r="4402" spans="1:15" hidden="1" x14ac:dyDescent="0.3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4"/>
      <c r="O4402" s="81"/>
    </row>
    <row r="4403" spans="1:15" hidden="1" x14ac:dyDescent="0.3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4"/>
      <c r="O4403" s="81"/>
    </row>
    <row r="4404" spans="1:15" hidden="1" x14ac:dyDescent="0.3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4"/>
      <c r="O4404" s="81"/>
    </row>
    <row r="4405" spans="1:15" hidden="1" x14ac:dyDescent="0.3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4"/>
      <c r="O4405" s="81"/>
    </row>
    <row r="4406" spans="1:15" hidden="1" x14ac:dyDescent="0.3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4"/>
      <c r="O4406" s="81"/>
    </row>
    <row r="4407" spans="1:15" hidden="1" x14ac:dyDescent="0.3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4"/>
      <c r="O4407" s="81"/>
    </row>
    <row r="4408" spans="1:15" hidden="1" x14ac:dyDescent="0.3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4"/>
      <c r="O4408" s="81"/>
    </row>
    <row r="4409" spans="1:15" hidden="1" x14ac:dyDescent="0.3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4"/>
      <c r="O4409" s="81"/>
    </row>
    <row r="4410" spans="1:15" hidden="1" x14ac:dyDescent="0.3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4"/>
      <c r="O4410" s="81"/>
    </row>
    <row r="4411" spans="1:15" hidden="1" x14ac:dyDescent="0.3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4"/>
      <c r="O4411" s="81"/>
    </row>
    <row r="4412" spans="1:15" hidden="1" x14ac:dyDescent="0.3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4"/>
      <c r="O4412" s="81"/>
    </row>
    <row r="4413" spans="1:15" hidden="1" x14ac:dyDescent="0.3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4"/>
      <c r="O4413" s="81"/>
    </row>
    <row r="4414" spans="1:15" hidden="1" x14ac:dyDescent="0.3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4"/>
      <c r="O4414" s="81"/>
    </row>
    <row r="4415" spans="1:15" hidden="1" x14ac:dyDescent="0.3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4"/>
      <c r="O4415" s="81"/>
    </row>
    <row r="4416" spans="1:15" hidden="1" x14ac:dyDescent="0.3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4"/>
      <c r="O4416" s="81"/>
    </row>
    <row r="4417" spans="1:15" hidden="1" x14ac:dyDescent="0.3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4"/>
      <c r="O4417" s="81"/>
    </row>
    <row r="4418" spans="1:15" hidden="1" x14ac:dyDescent="0.3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4"/>
      <c r="O4418" s="81"/>
    </row>
    <row r="4419" spans="1:15" hidden="1" x14ac:dyDescent="0.3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4"/>
      <c r="O4419" s="81"/>
    </row>
    <row r="4420" spans="1:15" hidden="1" x14ac:dyDescent="0.3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4"/>
      <c r="O4420" s="81"/>
    </row>
    <row r="4421" spans="1:15" hidden="1" x14ac:dyDescent="0.3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4"/>
      <c r="O4421" s="81"/>
    </row>
    <row r="4422" spans="1:15" hidden="1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4"/>
      <c r="O4422" s="81"/>
    </row>
    <row r="4423" spans="1:15" hidden="1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4"/>
      <c r="O4423" s="81"/>
    </row>
    <row r="4424" spans="1:15" hidden="1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4"/>
      <c r="O4424" s="81"/>
    </row>
    <row r="4425" spans="1:15" hidden="1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4"/>
      <c r="O4425" s="81"/>
    </row>
    <row r="4426" spans="1:15" hidden="1" x14ac:dyDescent="0.3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4"/>
      <c r="O4426" s="81"/>
    </row>
    <row r="4427" spans="1:15" hidden="1" x14ac:dyDescent="0.35">
      <c r="A4427" s="188"/>
      <c r="B4427" s="189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4"/>
      <c r="O4427" s="81"/>
    </row>
    <row r="4428" spans="1:15" hidden="1" x14ac:dyDescent="0.35">
      <c r="A4428" s="188"/>
      <c r="B4428" s="189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4"/>
      <c r="O4428" s="81"/>
    </row>
    <row r="4429" spans="1:15" hidden="1" x14ac:dyDescent="0.35">
      <c r="A4429" s="188"/>
      <c r="B4429" s="189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4"/>
      <c r="O4429" s="81"/>
    </row>
    <row r="4430" spans="1:15" hidden="1" x14ac:dyDescent="0.35">
      <c r="A4430" s="188"/>
      <c r="B4430" s="189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4"/>
      <c r="O4430" s="81"/>
    </row>
    <row r="4431" spans="1:15" hidden="1" x14ac:dyDescent="0.35">
      <c r="A4431" s="188"/>
      <c r="B4431" s="316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4"/>
      <c r="O4431" s="81"/>
    </row>
    <row r="4432" spans="1:15" hidden="1" x14ac:dyDescent="0.35">
      <c r="A4432" s="188"/>
      <c r="B4432" s="316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4"/>
      <c r="O4432" s="81"/>
    </row>
    <row r="4433" spans="1:15" hidden="1" x14ac:dyDescent="0.35">
      <c r="A4433" s="188"/>
      <c r="B4433" s="316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4"/>
      <c r="O4433" s="81"/>
    </row>
    <row r="4434" spans="1:15" hidden="1" x14ac:dyDescent="0.3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4"/>
      <c r="O4434" s="81"/>
    </row>
    <row r="4435" spans="1:15" hidden="1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4"/>
      <c r="O4435" s="81"/>
    </row>
    <row r="4436" spans="1:15" hidden="1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4"/>
      <c r="O4436" s="81"/>
    </row>
    <row r="4437" spans="1:15" hidden="1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4"/>
      <c r="O4437" s="81"/>
    </row>
    <row r="4438" spans="1:15" hidden="1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4"/>
      <c r="O4438" s="81"/>
    </row>
    <row r="4439" spans="1:15" hidden="1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4"/>
      <c r="O4439" s="81"/>
    </row>
    <row r="4440" spans="1:15" hidden="1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4"/>
      <c r="O4440" s="81"/>
    </row>
    <row r="4441" spans="1:15" hidden="1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4"/>
      <c r="O4441" s="81"/>
    </row>
    <row r="4442" spans="1:15" hidden="1" x14ac:dyDescent="0.3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4"/>
      <c r="O4442" s="81"/>
    </row>
    <row r="4443" spans="1:15" hidden="1" x14ac:dyDescent="0.35">
      <c r="A4443" s="188"/>
      <c r="B4443" s="189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4"/>
      <c r="O4443" s="81"/>
    </row>
    <row r="4444" spans="1:15" hidden="1" x14ac:dyDescent="0.3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4"/>
      <c r="O4444" s="81"/>
    </row>
    <row r="4445" spans="1:15" hidden="1" x14ac:dyDescent="0.35">
      <c r="A4445" s="188"/>
      <c r="B4445" s="189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4"/>
      <c r="O4445" s="81"/>
    </row>
    <row r="4446" spans="1:15" hidden="1" x14ac:dyDescent="0.35">
      <c r="A4446" s="188"/>
      <c r="B4446" s="316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4"/>
      <c r="O4446" s="81"/>
    </row>
    <row r="4447" spans="1:15" hidden="1" x14ac:dyDescent="0.3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4"/>
      <c r="O4447" s="81"/>
    </row>
    <row r="4448" spans="1:15" hidden="1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4"/>
      <c r="O4448" s="81"/>
    </row>
    <row r="4449" spans="1:15" hidden="1" x14ac:dyDescent="0.3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4"/>
      <c r="O4449" s="81"/>
    </row>
    <row r="4450" spans="1:15" hidden="1" x14ac:dyDescent="0.35">
      <c r="A4450" s="188"/>
      <c r="B4450" s="189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4"/>
      <c r="O4450" s="81"/>
    </row>
    <row r="4451" spans="1:15" hidden="1" x14ac:dyDescent="0.35">
      <c r="A4451" s="188"/>
      <c r="B4451" s="316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4"/>
      <c r="O4451" s="81"/>
    </row>
    <row r="4452" spans="1:15" hidden="1" x14ac:dyDescent="0.3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4"/>
      <c r="O4452" s="81"/>
    </row>
    <row r="4453" spans="1:15" hidden="1" x14ac:dyDescent="0.35">
      <c r="A4453" s="188"/>
      <c r="B4453" s="316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4"/>
      <c r="O4453" s="81"/>
    </row>
    <row r="4454" spans="1:15" hidden="1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4"/>
      <c r="O4454" s="81"/>
    </row>
    <row r="4455" spans="1:15" hidden="1" x14ac:dyDescent="0.3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4"/>
      <c r="O4455" s="81"/>
    </row>
    <row r="4456" spans="1:15" hidden="1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4"/>
      <c r="O4456" s="81"/>
    </row>
    <row r="4457" spans="1:15" hidden="1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4"/>
      <c r="O4457" s="81"/>
    </row>
    <row r="4458" spans="1:15" hidden="1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4"/>
      <c r="O4458" s="81"/>
    </row>
    <row r="4459" spans="1:15" hidden="1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4"/>
      <c r="O4459" s="81"/>
    </row>
    <row r="4460" spans="1:15" hidden="1" x14ac:dyDescent="0.3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4"/>
      <c r="O4460" s="81"/>
    </row>
    <row r="4461" spans="1:15" hidden="1" x14ac:dyDescent="0.35">
      <c r="A4461" s="188"/>
      <c r="B4461" s="189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4"/>
      <c r="O4461" s="81"/>
    </row>
    <row r="4462" spans="1:15" hidden="1" x14ac:dyDescent="0.3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4"/>
      <c r="O4462" s="81"/>
    </row>
    <row r="4463" spans="1:15" hidden="1" x14ac:dyDescent="0.35">
      <c r="A4463" s="188"/>
      <c r="B4463" s="189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4"/>
      <c r="O4463" s="81"/>
    </row>
    <row r="4464" spans="1:15" hidden="1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4"/>
      <c r="O4464" s="81"/>
    </row>
    <row r="4465" spans="1:15" hidden="1" x14ac:dyDescent="0.3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4"/>
      <c r="O4465" s="81"/>
    </row>
    <row r="4466" spans="1:15" hidden="1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4"/>
      <c r="O4466" s="81"/>
    </row>
    <row r="4467" spans="1:15" hidden="1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4"/>
      <c r="O4467" s="81"/>
    </row>
    <row r="4468" spans="1:15" hidden="1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4"/>
      <c r="O4468" s="81"/>
    </row>
    <row r="4469" spans="1:15" hidden="1" x14ac:dyDescent="0.3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4"/>
      <c r="O4469" s="81"/>
    </row>
    <row r="4470" spans="1:15" hidden="1" x14ac:dyDescent="0.35">
      <c r="A4470" s="188"/>
      <c r="B4470" s="316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4"/>
      <c r="O4470" s="81"/>
    </row>
    <row r="4471" spans="1:15" hidden="1" x14ac:dyDescent="0.3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4"/>
      <c r="O4471" s="81"/>
    </row>
    <row r="4472" spans="1:15" hidden="1" x14ac:dyDescent="0.35">
      <c r="A4472" s="188"/>
      <c r="B4472" s="316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4"/>
      <c r="O4472" s="81"/>
    </row>
    <row r="4473" spans="1:15" hidden="1" x14ac:dyDescent="0.3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4"/>
      <c r="O4473" s="81"/>
    </row>
    <row r="4474" spans="1:15" hidden="1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4"/>
      <c r="O4474" s="81"/>
    </row>
    <row r="4475" spans="1:15" hidden="1" x14ac:dyDescent="0.3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4"/>
      <c r="O4475" s="81"/>
    </row>
    <row r="4476" spans="1:15" hidden="1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4"/>
      <c r="O4476" s="81"/>
    </row>
    <row r="4477" spans="1:15" hidden="1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4"/>
      <c r="O4477" s="81"/>
    </row>
    <row r="4478" spans="1:15" hidden="1" x14ac:dyDescent="0.3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4"/>
      <c r="O4478" s="81"/>
    </row>
    <row r="4479" spans="1:15" hidden="1" x14ac:dyDescent="0.35">
      <c r="A4479" s="188"/>
      <c r="B4479" s="316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4"/>
      <c r="O4479" s="81"/>
    </row>
    <row r="4480" spans="1:15" hidden="1" x14ac:dyDescent="0.35">
      <c r="A4480" s="188"/>
      <c r="B4480" s="316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4"/>
      <c r="O4480" s="81"/>
    </row>
    <row r="4481" spans="1:15" hidden="1" x14ac:dyDescent="0.35">
      <c r="A4481" s="188"/>
      <c r="B4481" s="316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4"/>
      <c r="O4481" s="81"/>
    </row>
    <row r="4482" spans="1:15" hidden="1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4"/>
      <c r="O4482" s="81"/>
    </row>
    <row r="4483" spans="1:15" hidden="1" x14ac:dyDescent="0.3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4"/>
      <c r="O4483" s="81"/>
    </row>
    <row r="4484" spans="1:15" hidden="1" x14ac:dyDescent="0.35">
      <c r="A4484" s="188"/>
      <c r="B4484" s="189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4"/>
      <c r="O4484" s="81"/>
    </row>
    <row r="4485" spans="1:15" hidden="1" x14ac:dyDescent="0.35">
      <c r="A4485" s="188"/>
      <c r="B4485" s="189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4"/>
      <c r="O4485" s="81"/>
    </row>
    <row r="4486" spans="1:15" hidden="1" x14ac:dyDescent="0.35">
      <c r="A4486" s="188"/>
      <c r="B4486" s="189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4"/>
      <c r="O4486" s="81"/>
    </row>
    <row r="4487" spans="1:15" hidden="1" x14ac:dyDescent="0.35">
      <c r="A4487" s="188"/>
      <c r="B4487" s="316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4"/>
      <c r="O4487" s="81"/>
    </row>
    <row r="4488" spans="1:15" hidden="1" x14ac:dyDescent="0.3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4"/>
      <c r="O4488" s="81"/>
    </row>
    <row r="4489" spans="1:15" hidden="1" x14ac:dyDescent="0.35">
      <c r="A4489" s="188"/>
      <c r="B4489" s="316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4"/>
      <c r="O4489" s="81"/>
    </row>
    <row r="4490" spans="1:15" hidden="1" x14ac:dyDescent="0.3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4"/>
      <c r="O4490" s="81"/>
    </row>
    <row r="4491" spans="1:15" hidden="1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4"/>
      <c r="O4491" s="81"/>
    </row>
    <row r="4492" spans="1:15" hidden="1" x14ac:dyDescent="0.35">
      <c r="A4492" s="188"/>
      <c r="B4492" s="189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4"/>
      <c r="O4492" s="81"/>
    </row>
    <row r="4493" spans="1:15" hidden="1" x14ac:dyDescent="0.35">
      <c r="A4493" s="188"/>
      <c r="B4493" s="316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4"/>
      <c r="O4493" s="81"/>
    </row>
    <row r="4494" spans="1:15" hidden="1" x14ac:dyDescent="0.3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4"/>
      <c r="O4494" s="81"/>
    </row>
    <row r="4495" spans="1:15" hidden="1" x14ac:dyDescent="0.35">
      <c r="A4495" s="188"/>
      <c r="B4495" s="316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4"/>
      <c r="O4495" s="81"/>
    </row>
    <row r="4496" spans="1:15" hidden="1" x14ac:dyDescent="0.35">
      <c r="A4496" s="188"/>
      <c r="B4496" s="189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4"/>
      <c r="O4496" s="81"/>
    </row>
    <row r="4497" spans="1:15" hidden="1" x14ac:dyDescent="0.3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4"/>
      <c r="O4497" s="81"/>
    </row>
    <row r="4498" spans="1:15" hidden="1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4"/>
      <c r="O4498" s="81"/>
    </row>
    <row r="4499" spans="1:15" hidden="1" x14ac:dyDescent="0.3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4"/>
      <c r="O4499" s="81"/>
    </row>
    <row r="4500" spans="1:15" hidden="1" x14ac:dyDescent="0.35">
      <c r="A4500" s="188"/>
      <c r="B4500" s="316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4"/>
      <c r="O4500" s="81"/>
    </row>
    <row r="4501" spans="1:15" hidden="1" x14ac:dyDescent="0.35">
      <c r="A4501" s="188"/>
      <c r="B4501" s="189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4"/>
      <c r="O4501" s="81"/>
    </row>
    <row r="4502" spans="1:15" hidden="1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4"/>
      <c r="O4502" s="81"/>
    </row>
    <row r="4503" spans="1:15" hidden="1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4"/>
      <c r="O4503" s="81"/>
    </row>
    <row r="4504" spans="1:15" hidden="1" x14ac:dyDescent="0.3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4"/>
      <c r="O4504" s="81"/>
    </row>
    <row r="4505" spans="1:15" hidden="1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4"/>
      <c r="O4505" s="81"/>
    </row>
    <row r="4506" spans="1:15" hidden="1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4"/>
      <c r="O4506" s="81"/>
    </row>
    <row r="4507" spans="1:15" hidden="1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4"/>
      <c r="O4507" s="81"/>
    </row>
    <row r="4508" spans="1:15" hidden="1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4"/>
      <c r="O4508" s="81"/>
    </row>
    <row r="4509" spans="1:15" hidden="1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4"/>
      <c r="O4509" s="81"/>
    </row>
    <row r="4510" spans="1:15" hidden="1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4"/>
      <c r="O4510" s="81"/>
    </row>
    <row r="4511" spans="1:15" hidden="1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4"/>
      <c r="O4511" s="81"/>
    </row>
    <row r="4512" spans="1:15" hidden="1" x14ac:dyDescent="0.3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4"/>
      <c r="O4512" s="81"/>
    </row>
    <row r="4513" spans="1:15" hidden="1" x14ac:dyDescent="0.35">
      <c r="A4513" s="188"/>
      <c r="B4513" s="189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4"/>
      <c r="O4513" s="81"/>
    </row>
    <row r="4514" spans="1:15" hidden="1" x14ac:dyDescent="0.3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4"/>
      <c r="O4514" s="81"/>
    </row>
    <row r="4515" spans="1:15" hidden="1" x14ac:dyDescent="0.35">
      <c r="A4515" s="188"/>
      <c r="B4515" s="189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4"/>
      <c r="O4515" s="81"/>
    </row>
    <row r="4516" spans="1:15" hidden="1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4"/>
      <c r="O4516" s="81"/>
    </row>
    <row r="4517" spans="1:15" hidden="1" x14ac:dyDescent="0.3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4"/>
      <c r="O4517" s="81"/>
    </row>
    <row r="4518" spans="1:15" hidden="1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4"/>
      <c r="O4518" s="81"/>
    </row>
    <row r="4519" spans="1:15" hidden="1" x14ac:dyDescent="0.3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4"/>
      <c r="O4519" s="81"/>
    </row>
    <row r="4520" spans="1:15" hidden="1" x14ac:dyDescent="0.35">
      <c r="A4520" s="188"/>
      <c r="B4520" s="316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4"/>
      <c r="O4520" s="81"/>
    </row>
    <row r="4521" spans="1:15" hidden="1" x14ac:dyDescent="0.3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4"/>
      <c r="O4521" s="81"/>
    </row>
    <row r="4522" spans="1:15" hidden="1" x14ac:dyDescent="0.35">
      <c r="A4522" s="188"/>
      <c r="B4522" s="316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4"/>
      <c r="O4522" s="81"/>
    </row>
    <row r="4523" spans="1:15" hidden="1" x14ac:dyDescent="0.35">
      <c r="A4523" s="188"/>
      <c r="B4523" s="189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4"/>
      <c r="O4523" s="81"/>
    </row>
    <row r="4524" spans="1:15" hidden="1" x14ac:dyDescent="0.35">
      <c r="A4524" s="188"/>
      <c r="B4524" s="316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4"/>
      <c r="O4524" s="81"/>
    </row>
    <row r="4525" spans="1:15" hidden="1" x14ac:dyDescent="0.35">
      <c r="A4525" s="188"/>
      <c r="B4525" s="189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4"/>
      <c r="O4525" s="81"/>
    </row>
    <row r="4526" spans="1:15" hidden="1" x14ac:dyDescent="0.3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4"/>
      <c r="O4526" s="81"/>
    </row>
    <row r="4527" spans="1:15" hidden="1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4"/>
      <c r="O4527" s="81"/>
    </row>
    <row r="4528" spans="1:15" hidden="1" x14ac:dyDescent="0.3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4"/>
      <c r="O4528" s="81"/>
    </row>
    <row r="4529" spans="1:15" hidden="1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4"/>
      <c r="O4529" s="81"/>
    </row>
    <row r="4530" spans="1:15" hidden="1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4"/>
      <c r="O4530" s="81"/>
    </row>
    <row r="4531" spans="1:15" hidden="1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4"/>
      <c r="O4531" s="81"/>
    </row>
    <row r="4532" spans="1:15" hidden="1" x14ac:dyDescent="0.3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4"/>
      <c r="O4532" s="81"/>
    </row>
    <row r="4533" spans="1:15" hidden="1" x14ac:dyDescent="0.35">
      <c r="A4533" s="188"/>
      <c r="B4533" s="189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4"/>
      <c r="O4533" s="81"/>
    </row>
    <row r="4534" spans="1:15" hidden="1" x14ac:dyDescent="0.35">
      <c r="A4534" s="188"/>
      <c r="B4534" s="189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4"/>
      <c r="O4534" s="81"/>
    </row>
    <row r="4535" spans="1:15" hidden="1" x14ac:dyDescent="0.3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4"/>
      <c r="O4535" s="81"/>
    </row>
    <row r="4536" spans="1:15" hidden="1" x14ac:dyDescent="0.35">
      <c r="A4536" s="188"/>
      <c r="B4536" s="189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4"/>
      <c r="O4536" s="81"/>
    </row>
    <row r="4537" spans="1:15" hidden="1" x14ac:dyDescent="0.35">
      <c r="A4537" s="188"/>
      <c r="B4537" s="316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4"/>
      <c r="O4537" s="81"/>
    </row>
    <row r="4538" spans="1:15" hidden="1" x14ac:dyDescent="0.35">
      <c r="A4538" s="188"/>
      <c r="B4538" s="189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4"/>
      <c r="O4538" s="81"/>
    </row>
    <row r="4539" spans="1:15" hidden="1" x14ac:dyDescent="0.3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4"/>
      <c r="O4539" s="81"/>
    </row>
    <row r="4540" spans="1:15" hidden="1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4"/>
      <c r="O4540" s="81"/>
    </row>
    <row r="4541" spans="1:15" hidden="1" x14ac:dyDescent="0.3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4"/>
      <c r="O4541" s="81"/>
    </row>
    <row r="4542" spans="1:15" hidden="1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4"/>
      <c r="O4542" s="81"/>
    </row>
    <row r="4543" spans="1:15" hidden="1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4"/>
      <c r="O4543" s="81"/>
    </row>
    <row r="4544" spans="1:15" hidden="1" x14ac:dyDescent="0.3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4"/>
      <c r="O4544" s="81"/>
    </row>
    <row r="4545" spans="1:15" hidden="1" x14ac:dyDescent="0.35">
      <c r="A4545" s="188"/>
      <c r="B4545" s="189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4"/>
      <c r="O4545" s="81"/>
    </row>
    <row r="4546" spans="1:15" hidden="1" x14ac:dyDescent="0.3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4"/>
      <c r="O4546" s="81"/>
    </row>
    <row r="4547" spans="1:15" hidden="1" x14ac:dyDescent="0.35">
      <c r="A4547" s="188"/>
      <c r="B4547" s="189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4"/>
      <c r="O4547" s="81"/>
    </row>
    <row r="4548" spans="1:15" hidden="1" x14ac:dyDescent="0.35">
      <c r="A4548" s="188"/>
      <c r="B4548" s="316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4"/>
      <c r="O4548" s="81"/>
    </row>
    <row r="4549" spans="1:15" hidden="1" x14ac:dyDescent="0.35">
      <c r="A4549" s="188"/>
      <c r="B4549" s="189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4"/>
      <c r="O4549" s="81"/>
    </row>
    <row r="4550" spans="1:15" hidden="1" x14ac:dyDescent="0.3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4"/>
      <c r="O4550" s="81"/>
    </row>
    <row r="4551" spans="1:15" hidden="1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4"/>
      <c r="O4551" s="81"/>
    </row>
    <row r="4552" spans="1:15" hidden="1" x14ac:dyDescent="0.3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4"/>
      <c r="O4552" s="81"/>
    </row>
    <row r="4553" spans="1:15" hidden="1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4"/>
      <c r="O4553" s="81"/>
    </row>
    <row r="4554" spans="1:15" hidden="1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4"/>
      <c r="O4554" s="81"/>
    </row>
    <row r="4555" spans="1:15" hidden="1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4"/>
      <c r="O4555" s="81"/>
    </row>
    <row r="4556" spans="1:15" hidden="1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4"/>
      <c r="O4556" s="81"/>
    </row>
    <row r="4557" spans="1:15" hidden="1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4"/>
      <c r="O4557" s="81"/>
    </row>
    <row r="4558" spans="1:15" hidden="1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4"/>
      <c r="O4558" s="81"/>
    </row>
    <row r="4559" spans="1:15" hidden="1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4"/>
      <c r="O4559" s="81"/>
    </row>
    <row r="4560" spans="1:15" hidden="1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4"/>
      <c r="O4560" s="81"/>
    </row>
    <row r="4561" spans="1:15" hidden="1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4"/>
      <c r="O4561" s="81"/>
    </row>
    <row r="4562" spans="1:15" hidden="1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4"/>
      <c r="O4562" s="81"/>
    </row>
    <row r="4563" spans="1:15" hidden="1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4"/>
      <c r="O4563" s="81"/>
    </row>
    <row r="4564" spans="1:15" hidden="1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4"/>
      <c r="O4564" s="81"/>
    </row>
    <row r="4565" spans="1:15" hidden="1" x14ac:dyDescent="0.3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4"/>
      <c r="O4565" s="81"/>
    </row>
    <row r="4566" spans="1:15" hidden="1" x14ac:dyDescent="0.35">
      <c r="A4566" s="188"/>
      <c r="B4566" s="189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4"/>
      <c r="O4566" s="81"/>
    </row>
    <row r="4567" spans="1:15" hidden="1" x14ac:dyDescent="0.35">
      <c r="A4567" s="188"/>
      <c r="B4567" s="189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4"/>
      <c r="O4567" s="81"/>
    </row>
    <row r="4568" spans="1:15" hidden="1" x14ac:dyDescent="0.35">
      <c r="A4568" s="188"/>
      <c r="B4568" s="189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4"/>
      <c r="O4568" s="81"/>
    </row>
    <row r="4569" spans="1:15" hidden="1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4"/>
      <c r="O4569" s="81"/>
    </row>
    <row r="4570" spans="1:15" hidden="1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4"/>
      <c r="O4570" s="81"/>
    </row>
    <row r="4571" spans="1:15" hidden="1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4"/>
      <c r="O4571" s="81"/>
    </row>
    <row r="4572" spans="1:15" hidden="1" x14ac:dyDescent="0.3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4"/>
      <c r="O4572" s="81"/>
    </row>
    <row r="4573" spans="1:15" hidden="1" x14ac:dyDescent="0.35">
      <c r="A4573" s="188"/>
      <c r="B4573" s="316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4"/>
      <c r="O4573" s="81"/>
    </row>
    <row r="4574" spans="1:15" hidden="1" x14ac:dyDescent="0.3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4"/>
      <c r="O4574" s="81"/>
    </row>
    <row r="4575" spans="1:15" hidden="1" x14ac:dyDescent="0.35">
      <c r="A4575" s="188"/>
      <c r="B4575" s="316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4"/>
      <c r="O4575" s="81"/>
    </row>
    <row r="4576" spans="1:15" hidden="1" x14ac:dyDescent="0.35">
      <c r="A4576" s="188"/>
      <c r="B4576" s="189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4"/>
      <c r="O4576" s="81"/>
    </row>
    <row r="4577" spans="1:15" hidden="1" x14ac:dyDescent="0.35">
      <c r="A4577" s="188"/>
      <c r="B4577" s="316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4"/>
      <c r="O4577" s="81"/>
    </row>
    <row r="4578" spans="1:15" hidden="1" x14ac:dyDescent="0.35">
      <c r="A4578" s="188"/>
      <c r="B4578" s="189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4"/>
      <c r="O4578" s="81"/>
    </row>
    <row r="4579" spans="1:15" hidden="1" x14ac:dyDescent="0.3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4"/>
      <c r="O4579" s="81"/>
    </row>
    <row r="4580" spans="1:15" hidden="1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4"/>
      <c r="O4580" s="81"/>
    </row>
    <row r="4581" spans="1:15" hidden="1" x14ac:dyDescent="0.3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4"/>
      <c r="O4581" s="81"/>
    </row>
    <row r="4582" spans="1:15" hidden="1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4"/>
      <c r="O4582" s="81"/>
    </row>
    <row r="4583" spans="1:15" hidden="1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4"/>
      <c r="O4583" s="81"/>
    </row>
    <row r="4584" spans="1:15" hidden="1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4"/>
      <c r="O4584" s="81"/>
    </row>
    <row r="4585" spans="1:15" hidden="1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4"/>
      <c r="O4585" s="81"/>
    </row>
    <row r="4586" spans="1:15" hidden="1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4"/>
      <c r="O4586" s="81"/>
    </row>
    <row r="4587" spans="1:15" hidden="1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4"/>
      <c r="O4587" s="81"/>
    </row>
    <row r="4588" spans="1:15" hidden="1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4"/>
      <c r="O4588" s="81"/>
    </row>
    <row r="4589" spans="1:15" hidden="1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4"/>
      <c r="O4589" s="81"/>
    </row>
    <row r="4590" spans="1:15" hidden="1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4"/>
      <c r="O4590" s="81"/>
    </row>
    <row r="4591" spans="1:15" hidden="1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4"/>
      <c r="O4591" s="81"/>
    </row>
    <row r="4592" spans="1:15" hidden="1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4"/>
      <c r="O4592" s="81"/>
    </row>
    <row r="4593" spans="1:15" hidden="1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4"/>
      <c r="O4593" s="81"/>
    </row>
    <row r="4594" spans="1:15" hidden="1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4"/>
      <c r="O4594" s="81"/>
    </row>
    <row r="4595" spans="1:15" hidden="1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4"/>
      <c r="O4595" s="81"/>
    </row>
    <row r="4596" spans="1:15" hidden="1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4"/>
      <c r="O4596" s="81"/>
    </row>
    <row r="4597" spans="1:15" hidden="1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4"/>
      <c r="O4597" s="81"/>
    </row>
    <row r="4598" spans="1:15" hidden="1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4"/>
      <c r="O4598" s="81"/>
    </row>
    <row r="4599" spans="1:15" hidden="1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4"/>
      <c r="O4599" s="81"/>
    </row>
    <row r="4600" spans="1:15" hidden="1" x14ac:dyDescent="0.3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4"/>
      <c r="O4600" s="81"/>
    </row>
    <row r="4601" spans="1:15" hidden="1" x14ac:dyDescent="0.35">
      <c r="A4601" s="188"/>
      <c r="B4601" s="189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4"/>
      <c r="O4601" s="81"/>
    </row>
    <row r="4602" spans="1:15" hidden="1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4"/>
      <c r="O4602" s="81"/>
    </row>
    <row r="4603" spans="1:15" hidden="1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4"/>
      <c r="O4603" s="81"/>
    </row>
    <row r="4604" spans="1:15" hidden="1" x14ac:dyDescent="0.3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4"/>
      <c r="O4604" s="81"/>
    </row>
    <row r="4605" spans="1:15" hidden="1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4"/>
      <c r="O4605" s="81"/>
    </row>
    <row r="4606" spans="1:15" hidden="1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4"/>
      <c r="O4606" s="81"/>
    </row>
    <row r="4607" spans="1:15" hidden="1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4"/>
      <c r="O4607" s="81"/>
    </row>
    <row r="4608" spans="1:15" hidden="1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4"/>
      <c r="O4608" s="81"/>
    </row>
    <row r="4609" spans="1:15" hidden="1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4"/>
      <c r="O4609" s="81"/>
    </row>
    <row r="4610" spans="1:15" hidden="1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4"/>
      <c r="O4610" s="81"/>
    </row>
    <row r="4611" spans="1:15" hidden="1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4"/>
      <c r="O4611" s="81"/>
    </row>
    <row r="4612" spans="1:15" hidden="1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4"/>
      <c r="O4612" s="81"/>
    </row>
    <row r="4613" spans="1:15" hidden="1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4"/>
      <c r="O4613" s="81"/>
    </row>
    <row r="4614" spans="1:15" hidden="1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4"/>
      <c r="O4614" s="81"/>
    </row>
    <row r="4615" spans="1:15" hidden="1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4"/>
      <c r="O4615" s="81"/>
    </row>
    <row r="4616" spans="1:15" hidden="1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4"/>
      <c r="O4616" s="81"/>
    </row>
    <row r="4617" spans="1:15" hidden="1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4"/>
      <c r="O4617" s="81"/>
    </row>
    <row r="4618" spans="1:15" hidden="1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4"/>
      <c r="O4618" s="81"/>
    </row>
    <row r="4619" spans="1:15" hidden="1" x14ac:dyDescent="0.3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4"/>
      <c r="O4619" s="81"/>
    </row>
    <row r="4620" spans="1:15" hidden="1" x14ac:dyDescent="0.35">
      <c r="A4620" s="188"/>
      <c r="B4620" s="189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4"/>
      <c r="O4620" s="81"/>
    </row>
    <row r="4621" spans="1:15" hidden="1" x14ac:dyDescent="0.35">
      <c r="A4621" s="188"/>
      <c r="B4621" s="189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4"/>
      <c r="O4621" s="81"/>
    </row>
    <row r="4622" spans="1:15" hidden="1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4"/>
      <c r="O4622" s="81"/>
    </row>
    <row r="4623" spans="1:15" hidden="1" x14ac:dyDescent="0.3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4"/>
      <c r="O4623" s="81"/>
    </row>
    <row r="4624" spans="1:15" hidden="1" x14ac:dyDescent="0.35">
      <c r="A4624" s="188"/>
      <c r="B4624" s="316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4"/>
      <c r="O4624" s="81"/>
    </row>
    <row r="4625" spans="1:15" hidden="1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4"/>
      <c r="O4625" s="81"/>
    </row>
    <row r="4626" spans="1:15" hidden="1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4"/>
      <c r="O4626" s="81"/>
    </row>
    <row r="4627" spans="1:15" hidden="1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4"/>
      <c r="O4627" s="81"/>
    </row>
    <row r="4628" spans="1:15" hidden="1" x14ac:dyDescent="0.3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4"/>
      <c r="O4628" s="81"/>
    </row>
    <row r="4629" spans="1:15" hidden="1" x14ac:dyDescent="0.35">
      <c r="A4629" s="266"/>
      <c r="B4629" s="82"/>
      <c r="C4629" s="211"/>
      <c r="D4629" s="267"/>
      <c r="E4629" s="82"/>
      <c r="F4629" s="184"/>
      <c r="G4629" s="83"/>
      <c r="H4629" s="83"/>
      <c r="I4629" s="83"/>
      <c r="J4629" s="84"/>
      <c r="K4629" s="96">
        <f>SUMIFS(Table3[[#All],[Tổng Kim hư]],Table3[[#All],[Mã Hàng ]],Table1[[#All],[Mã hàng]],Table3[[#All],[Màu ]],Table1[[#All],[Màu]],Table3[[#All],[Ngày đặt ]],Table1[[#All],[Ngày đặt]])</f>
        <v>0</v>
      </c>
      <c r="L4629" s="83"/>
      <c r="M4629" s="85"/>
      <c r="N4629" s="325"/>
      <c r="O4629" s="284"/>
    </row>
  </sheetData>
  <phoneticPr fontId="18" type="noConversion"/>
  <hyperlinks>
    <hyperlink ref="O4433" r:id="rId1" display="Wo@da Trái tim"/>
    <hyperlink ref="B4641" r:id="rId2" display="Wo@da LK-301"/>
    <hyperlink ref="B4650" r:id="rId3" display="Wo@da LK-403"/>
    <hyperlink ref="B4634" r:id="rId4" display="Wo@da LK-401"/>
    <hyperlink ref="B4636" r:id="rId5" display="Wo@da LK-801"/>
    <hyperlink ref="B4658" r:id="rId6" display="Wo@da NC Bamboo"/>
    <hyperlink ref="B4659" r:id="rId7" display="Wo@da NC Bamboo"/>
    <hyperlink ref="B4824" r:id="rId8" display="Wo@da LK-401"/>
    <hyperlink ref="B4827" r:id="rId9" display="Wo@da LK-204"/>
    <hyperlink ref="O4431" r:id="rId10" display="Wo@da Trái tim"/>
    <hyperlink ref="B4639" r:id="rId11" display="mailto:Wo@da%20LK-301"/>
    <hyperlink ref="B4648" r:id="rId12" display="mailto:Wo@da%20LK-403"/>
    <hyperlink ref="B4632" r:id="rId13" display="mailto:Wo@da%20LK-401"/>
    <hyperlink ref="B4634" r:id="rId14" display="mailto:Wo@da%20LK-801"/>
    <hyperlink ref="B4656" r:id="rId15" display="mailto:Wo@da%20NC%20Bamboo"/>
    <hyperlink ref="B4657" r:id="rId16" display="mailto:Wo@da%20NC%20Bamboo"/>
    <hyperlink ref="B4822" r:id="rId17" display="Wo@da LK-401"/>
    <hyperlink ref="B4825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2469</v>
      </c>
    </row>
    <row r="3" spans="1:17" x14ac:dyDescent="0.35">
      <c r="A3" s="306" t="s">
        <v>2465</v>
      </c>
      <c r="B3" s="9" t="s">
        <v>2467</v>
      </c>
      <c r="C3" s="9" t="s">
        <v>2468</v>
      </c>
      <c r="D3" s="217" t="s">
        <v>2334</v>
      </c>
      <c r="E3" s="312" t="s">
        <v>275</v>
      </c>
      <c r="F3" s="311" t="s">
        <v>2470</v>
      </c>
      <c r="G3" s="311" t="s">
        <v>2471</v>
      </c>
      <c r="H3" s="311" t="s">
        <v>2472</v>
      </c>
      <c r="I3" s="311" t="s">
        <v>2473</v>
      </c>
      <c r="J3" s="311" t="s">
        <v>2474</v>
      </c>
      <c r="K3" s="311" t="s">
        <v>2475</v>
      </c>
      <c r="L3" s="311" t="s">
        <v>2476</v>
      </c>
      <c r="M3" s="311" t="s">
        <v>2477</v>
      </c>
      <c r="N3" s="311" t="s">
        <v>2478</v>
      </c>
      <c r="O3" s="311" t="s">
        <v>2479</v>
      </c>
      <c r="P3" s="311" t="s">
        <v>2480</v>
      </c>
      <c r="Q3" s="311" t="s">
        <v>2481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2491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2466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opLeftCell="A5794" zoomScaleNormal="100" workbookViewId="0">
      <selection sqref="A1:Q5822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2039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2053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2047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2069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2069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2069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2054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2069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2059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2069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2062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2065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2070</v>
      </c>
      <c r="C3469" s="250" t="s">
        <v>2072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2054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2099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2065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2085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2070</v>
      </c>
      <c r="C3527" s="250" t="s">
        <v>2071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2070</v>
      </c>
      <c r="C3528" s="250" t="s">
        <v>2073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2083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2092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2065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2070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2065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2059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2080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2065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2080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2092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2092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2059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2092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2092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2078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2078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2059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2085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2092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2092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2092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2085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2111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2056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2104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2080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2080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2092</v>
      </c>
      <c r="C3638" s="9" t="s">
        <v>2117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2092</v>
      </c>
      <c r="C3640" s="9" t="s">
        <v>2118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2054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2104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2111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2113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2092</v>
      </c>
      <c r="C3657" s="9" t="s">
        <v>2117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2078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2092</v>
      </c>
      <c r="C3659" s="9" t="s">
        <v>2124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2111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2080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2080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2054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2092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2137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2138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2092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2104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2122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2122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2113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2104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2133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2143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2116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2085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2113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2085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2085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2085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2133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2054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2078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2116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2113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2080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2143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2133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2133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2151</v>
      </c>
      <c r="C3754" s="9" t="s">
        <v>2154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2151</v>
      </c>
      <c r="C3755" s="9" t="s">
        <v>2153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2133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2133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2182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2182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2182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2182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2182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2182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2182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2182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2113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2113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2113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2113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2113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2113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2078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2419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2419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2419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2419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2202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2202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2202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2202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2250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2250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2303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2053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2367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2383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2383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2240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2240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2240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2240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2457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2457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2457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2457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2457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2457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2457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2389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2389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2389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2389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2389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2143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2143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2143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2143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2143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2143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2143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2143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2143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2143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2143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2143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2143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2143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2143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2143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2182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2383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2258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2258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2258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2453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2453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2453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2453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2453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2454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2454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2454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2454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2454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2454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2267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2267</v>
      </c>
      <c r="C4199" s="9" t="s">
        <v>2268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2267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2267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2224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2224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2224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2224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2224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2224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2224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2224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2224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2224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2224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2297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2297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2297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2297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2297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2297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2389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2054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2054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2138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2138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2138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2138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2230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2230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2344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2344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2344</v>
      </c>
      <c r="C4297" s="9" t="s">
        <v>2053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2344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2344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2367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2416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2278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2252</v>
      </c>
      <c r="C4306" s="9" t="s">
        <v>2253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2252</v>
      </c>
      <c r="C4307" s="250" t="s">
        <v>2266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2252</v>
      </c>
      <c r="C4308" s="250" t="s">
        <v>2280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2383</v>
      </c>
      <c r="C4309" s="9" t="s">
        <v>2403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2080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2080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2080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2080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2080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2080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2080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2080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2080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2080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2080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2080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2080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2080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2080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2080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2080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2080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2080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2080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2080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2080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2080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2080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2080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2080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2080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2080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2511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2511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2511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2511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2261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2261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2261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2261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2261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2270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2270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2270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2270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2270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2270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2270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2270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2270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2262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2262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2262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2262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2416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2436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2271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2271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2271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2271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2271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2271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2271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2271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2271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2271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2519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2564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2536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2297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2250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2250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2250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2250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2416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2250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2250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2276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2276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2276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2276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2276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2276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2276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2276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2137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2137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2137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2137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2416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2462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2462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2462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2262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2243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2243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2243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2243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2243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2243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2243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2243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2116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2116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2116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2116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2116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2391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2391</v>
      </c>
      <c r="C4549" s="9" t="s">
        <v>2039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2391</v>
      </c>
      <c r="C4550" s="9" t="s">
        <v>2039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2400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2085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2085</v>
      </c>
      <c r="C4576" s="9" t="s">
        <v>2053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2085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2085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2196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2205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2205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2205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2208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2208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2262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2519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2262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2143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2297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2539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2460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2460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2538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2262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2246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2246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2246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2246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2246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2246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2495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2497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2195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2182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2220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2220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2220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2220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2220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2243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2092</v>
      </c>
      <c r="C4860" s="9" t="s">
        <v>2117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2092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2092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2092</v>
      </c>
      <c r="C4863" s="9" t="s">
        <v>2117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2092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2092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2092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2092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2133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2133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2133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2226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2226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2226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2226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2226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2226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2226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2226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2226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2226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2226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2449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2449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2382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2382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2382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2382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2382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2382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2382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2382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2462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2383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2462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2383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2462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2383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2348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2348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2348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2348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2348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2355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2355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2355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2355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2355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2381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2381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2381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2381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2381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2381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2381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2380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2380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2380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2380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2380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2380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2462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2462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2604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2156</v>
      </c>
      <c r="C4944" s="9" t="s">
        <v>2149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2156</v>
      </c>
      <c r="C4945" s="9" t="s">
        <v>2207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2156</v>
      </c>
      <c r="C4946" s="9" t="s">
        <v>2181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2151</v>
      </c>
      <c r="C4947" s="9" t="s">
        <v>2154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2151</v>
      </c>
      <c r="C4948" s="9" t="s">
        <v>2152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2151</v>
      </c>
      <c r="C4949" s="9" t="s">
        <v>2166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2151</v>
      </c>
      <c r="C4950" s="9" t="s">
        <v>2153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2151</v>
      </c>
      <c r="C4951" s="9" t="s">
        <v>2155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2151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2346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2346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2346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2346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2346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2113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2080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2080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2182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2559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2457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2113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2462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2559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2604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2519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2519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2457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2536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2220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2604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2564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2553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2655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2243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2243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2243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2297</v>
      </c>
      <c r="C5019" s="9" t="s">
        <v>2117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2655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2538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2539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2655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2559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2564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2553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2519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2538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2564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2080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2080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2460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2553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2243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2243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2243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2553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2220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2656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2625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2581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2182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2243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2519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2536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2564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2220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2553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2603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2581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2590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2564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2559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2603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2564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2655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2559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2581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2603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2564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2603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2603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2553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2590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2625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2625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2182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2603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2581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2243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2243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2625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2564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2592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2080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2080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2590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2559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2553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2610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2624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2591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2590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2625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2655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2243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2243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2590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2246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2649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2080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2065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2564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2553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2658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2581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2559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2548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2590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2559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2603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2646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2519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2243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2243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2297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2039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2590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2564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2651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2047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2658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2243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2243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2581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2603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2603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2603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2080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2590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2590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2065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2655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2065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2655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2065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2655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2603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2603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2603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2605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2536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2625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2625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2655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2655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2655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2646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2649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2559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2581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2536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2610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2658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2039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2651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2065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2065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2243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2243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2655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2581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2625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2655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2656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2297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2590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2655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2655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2603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2603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2603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2603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2655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2080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2080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2590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2080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2080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2656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2624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2559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2656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2656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2656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2656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2700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2559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2610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2625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2625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2603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2603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2603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2603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2603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2603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2700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2080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2080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2080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2080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2559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2625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2705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2649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2243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2243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2603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2656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2625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2656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2625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0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2625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2625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2590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2080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2080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2080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2080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2625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2603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2603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2603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2603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2603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2625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2536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2603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2695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2243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2243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2243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2603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2603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2603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2603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2243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2243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2724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2243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2297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2695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2591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2243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2243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2687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2243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2624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2724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2687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2080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2080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2080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2080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2243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2243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2243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2243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2243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2603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2243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2590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2243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2603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2258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2258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2738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2603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2603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2603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2603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2603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2603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2603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2080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2590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2080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2080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2080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2243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2243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2603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2603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2243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2603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2243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2243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2080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2592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2590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hidden="1" x14ac:dyDescent="0.35">
      <c r="A5619" s="9" t="s">
        <v>53</v>
      </c>
      <c r="B5619" s="9" t="s">
        <v>1442</v>
      </c>
      <c r="C5619" s="9" t="s">
        <v>25</v>
      </c>
      <c r="D5619" s="9"/>
      <c r="E5619" s="10">
        <v>44753</v>
      </c>
      <c r="F5619" s="100">
        <f t="shared" ref="F5619:F5626" si="91">SUM(J5619:L5619)</f>
        <v>168</v>
      </c>
      <c r="G5619" s="100">
        <f>SUM(Table3[[#This Row],[Kim Dệt Ngày]:[Kim Khác Đêm]])</f>
        <v>0</v>
      </c>
      <c r="H5619" s="10">
        <v>44753</v>
      </c>
      <c r="I5619" s="10">
        <v>44754</v>
      </c>
      <c r="J5619" s="9">
        <f>12+60</f>
        <v>72</v>
      </c>
      <c r="K5619" s="9"/>
      <c r="L5619" s="9">
        <f>48+48</f>
        <v>96</v>
      </c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 t="shared" si="91"/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2156</v>
      </c>
      <c r="C5621" s="261" t="s">
        <v>2149</v>
      </c>
      <c r="D5621" s="9"/>
      <c r="E5621" s="10">
        <v>44735</v>
      </c>
      <c r="F5621" s="100">
        <f t="shared" si="91"/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 t="shared" si="91"/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hidden="1" x14ac:dyDescent="0.35">
      <c r="A5623" s="9" t="s">
        <v>55</v>
      </c>
      <c r="B5623" s="9" t="s">
        <v>1442</v>
      </c>
      <c r="C5623" s="9" t="s">
        <v>25</v>
      </c>
      <c r="D5623" s="9"/>
      <c r="E5623" s="10">
        <v>44753</v>
      </c>
      <c r="F5623" s="100">
        <f t="shared" si="91"/>
        <v>156</v>
      </c>
      <c r="G5623" s="100">
        <f>SUM(Table3[[#This Row],[Kim Dệt Ngày]:[Kim Khác Đêm]])</f>
        <v>0</v>
      </c>
      <c r="H5623" s="10">
        <v>44753</v>
      </c>
      <c r="I5623" s="10">
        <v>44754</v>
      </c>
      <c r="J5623" s="9">
        <f>48</f>
        <v>48</v>
      </c>
      <c r="K5623" s="9"/>
      <c r="L5623" s="9">
        <f>60+48</f>
        <v>108</v>
      </c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 t="shared" si="91"/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 t="shared" si="91"/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 t="shared" si="91"/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16</v>
      </c>
      <c r="B5627" s="261" t="s">
        <v>1070</v>
      </c>
      <c r="C5627" s="9" t="s">
        <v>18</v>
      </c>
      <c r="D5627" s="9"/>
      <c r="E5627" s="10">
        <v>44749</v>
      </c>
      <c r="F5627" s="100">
        <f>SUM(J5627:L5627)</f>
        <v>564</v>
      </c>
      <c r="G5627" s="100">
        <f>SUM(Table3[[#This Row],[Kim Dệt Ngày]:[Kim Khác Đêm]])</f>
        <v>0</v>
      </c>
      <c r="H5627" s="10">
        <v>44750</v>
      </c>
      <c r="I5627" s="10"/>
      <c r="J5627" s="9">
        <f>60+72+24+60+12+60+60+60</f>
        <v>408</v>
      </c>
      <c r="K5627" s="9"/>
      <c r="L5627" s="9">
        <f>48+48+60</f>
        <v>156</v>
      </c>
      <c r="M5627" s="11"/>
      <c r="N5627" s="11"/>
      <c r="O5627" s="9"/>
      <c r="P5627" s="9"/>
      <c r="Q5627" s="9"/>
    </row>
    <row r="5628" spans="1:17" hidden="1" x14ac:dyDescent="0.35">
      <c r="A5628" s="9" t="s">
        <v>19</v>
      </c>
      <c r="B5628" s="9" t="s">
        <v>2156</v>
      </c>
      <c r="C5628" s="261" t="s">
        <v>2592</v>
      </c>
      <c r="D5628" s="9"/>
      <c r="E5628" s="10">
        <v>44735</v>
      </c>
      <c r="F5628" s="100">
        <f>SUM(J5628:L5628)</f>
        <v>324</v>
      </c>
      <c r="G5628" s="100">
        <f>SUM(Table3[[#This Row],[Kim Dệt Ngày]:[Kim Khác Đêm]])</f>
        <v>0</v>
      </c>
      <c r="H5628" s="10">
        <v>44750</v>
      </c>
      <c r="I5628" s="10">
        <v>44757</v>
      </c>
      <c r="J5628" s="9">
        <f>60+60+24+48+60+60+12</f>
        <v>324</v>
      </c>
      <c r="K5628" s="9"/>
      <c r="L5628" s="9"/>
      <c r="M5628" s="11"/>
      <c r="N5628" s="11"/>
      <c r="O5628" s="9"/>
      <c r="P5628" s="9"/>
      <c r="Q5628" s="9"/>
    </row>
    <row r="5629" spans="1:17" hidden="1" x14ac:dyDescent="0.35">
      <c r="A5629" s="9" t="s">
        <v>21</v>
      </c>
      <c r="B5629" s="9" t="s">
        <v>1421</v>
      </c>
      <c r="C5629" s="9" t="s">
        <v>25</v>
      </c>
      <c r="D5629" s="9"/>
      <c r="E5629" s="10">
        <v>44742</v>
      </c>
      <c r="F5629" s="100">
        <f>SUM(J5629:L5629)</f>
        <v>180</v>
      </c>
      <c r="G5629" s="100">
        <f>SUM(Table3[[#This Row],[Kim Dệt Ngày]:[Kim Khác Đêm]])</f>
        <v>0</v>
      </c>
      <c r="H5629" s="10">
        <v>44750</v>
      </c>
      <c r="I5629" s="10">
        <v>44755</v>
      </c>
      <c r="J5629" s="9">
        <f>48+60+36+36</f>
        <v>180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>SUM(J5630:L5630)</f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>SUM(J5632:L5632)</f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hidden="1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>SUM(J5636:L5636)</f>
        <v>300</v>
      </c>
      <c r="G5636" s="100">
        <f>SUM(Table3[[#This Row],[Kim Dệt Ngày]:[Kim Khác Đêm]])</f>
        <v>3</v>
      </c>
      <c r="H5636" s="10">
        <v>44749</v>
      </c>
      <c r="I5636" s="10">
        <v>44753</v>
      </c>
      <c r="J5636" s="9">
        <f>24+84+72+24</f>
        <v>204</v>
      </c>
      <c r="K5636" s="9"/>
      <c r="L5636" s="9">
        <f>96</f>
        <v>96</v>
      </c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hidden="1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>SUM(J5638:L5638)</f>
        <v>204</v>
      </c>
      <c r="G5638" s="100">
        <f>SUM(Table3[[#This Row],[Kim Dệt Ngày]:[Kim Khác Đêm]])</f>
        <v>0</v>
      </c>
      <c r="H5638" s="10">
        <v>44751</v>
      </c>
      <c r="I5638" s="10">
        <v>44753</v>
      </c>
      <c r="J5638" s="9">
        <f>48+60</f>
        <v>108</v>
      </c>
      <c r="K5638" s="9"/>
      <c r="L5638" s="9">
        <f>24+72</f>
        <v>96</v>
      </c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>SUM(J5643:L5643)</f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hidden="1" x14ac:dyDescent="0.35">
      <c r="A5644" s="9" t="s">
        <v>23</v>
      </c>
      <c r="B5644" s="9" t="s">
        <v>1421</v>
      </c>
      <c r="C5644" s="9" t="s">
        <v>18</v>
      </c>
      <c r="D5644" s="9"/>
      <c r="E5644" s="10">
        <v>44742</v>
      </c>
      <c r="F5644" s="100">
        <f>SUM(J5644:L5644)</f>
        <v>576</v>
      </c>
      <c r="G5644" s="100">
        <f>SUM(Table3[[#This Row],[Kim Dệt Ngày]:[Kim Khác Đêm]])</f>
        <v>0</v>
      </c>
      <c r="H5644" s="10">
        <v>44750</v>
      </c>
      <c r="I5644" s="10">
        <v>44755</v>
      </c>
      <c r="J5644" s="9">
        <f>48+60+72+72+60</f>
        <v>312</v>
      </c>
      <c r="K5644" s="9"/>
      <c r="L5644" s="9">
        <f>84+84+84+12</f>
        <v>264</v>
      </c>
      <c r="M5644" s="11"/>
      <c r="N5644" s="11"/>
      <c r="O5644" s="9"/>
      <c r="P5644" s="9"/>
      <c r="Q5644" s="9"/>
    </row>
    <row r="5645" spans="1:17" hidden="1" x14ac:dyDescent="0.35">
      <c r="A5645" s="9" t="s">
        <v>35</v>
      </c>
      <c r="B5645" s="9" t="s">
        <v>2603</v>
      </c>
      <c r="C5645" s="9" t="s">
        <v>28</v>
      </c>
      <c r="D5645" s="9"/>
      <c r="E5645" s="10">
        <v>44750</v>
      </c>
      <c r="F5645" s="100">
        <f>SUM(J5645:L5645)</f>
        <v>252</v>
      </c>
      <c r="G5645" s="100">
        <f>SUM(Table3[[#This Row],[Kim Dệt Ngày]:[Kim Khác Đêm]])</f>
        <v>0</v>
      </c>
      <c r="H5645" s="10">
        <v>44751</v>
      </c>
      <c r="I5645" s="10">
        <v>44753</v>
      </c>
      <c r="J5645" s="9">
        <f>72+96</f>
        <v>168</v>
      </c>
      <c r="K5645" s="9"/>
      <c r="L5645" s="9">
        <f>84</f>
        <v>84</v>
      </c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hidden="1" x14ac:dyDescent="0.35">
      <c r="A5648" s="9" t="s">
        <v>96</v>
      </c>
      <c r="B5648" s="9" t="s">
        <v>1060</v>
      </c>
      <c r="C5648" s="9" t="s">
        <v>25</v>
      </c>
      <c r="D5648" s="9"/>
      <c r="E5648" s="10">
        <v>44733</v>
      </c>
      <c r="F5648" s="100">
        <f>SUM(J5648:L5648)</f>
        <v>528</v>
      </c>
      <c r="G5648" s="100">
        <f>SUM(Table3[[#This Row],[Kim Dệt Ngày]:[Kim Khác Đêm]])</f>
        <v>0</v>
      </c>
      <c r="H5648" s="10">
        <v>44750</v>
      </c>
      <c r="I5648" s="10">
        <v>44754</v>
      </c>
      <c r="J5648" s="9">
        <f>60+72+72</f>
        <v>204</v>
      </c>
      <c r="K5648" s="9"/>
      <c r="L5648" s="9">
        <f>84+84+60+84+12</f>
        <v>324</v>
      </c>
      <c r="M5648" s="11"/>
      <c r="N5648" s="11"/>
      <c r="O5648" s="9"/>
      <c r="P5648" s="9"/>
      <c r="Q5648" s="9"/>
    </row>
    <row r="5649" spans="1:17" hidden="1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>SUM(J5649:L5649)</f>
        <v>312</v>
      </c>
      <c r="G5649" s="100">
        <f>SUM(Table3[[#This Row],[Kim Dệt Ngày]:[Kim Khác Đêm]])</f>
        <v>0</v>
      </c>
      <c r="H5649" s="10">
        <v>44749</v>
      </c>
      <c r="I5649" s="10">
        <v>44753</v>
      </c>
      <c r="J5649" s="9">
        <f>24+72+60+72</f>
        <v>228</v>
      </c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hidden="1" x14ac:dyDescent="0.35">
      <c r="A5651" s="9" t="s">
        <v>38</v>
      </c>
      <c r="B5651" s="9" t="s">
        <v>1596</v>
      </c>
      <c r="C5651" s="9" t="s">
        <v>18</v>
      </c>
      <c r="D5651" s="9"/>
      <c r="E5651" s="10">
        <v>44742</v>
      </c>
      <c r="F5651" s="100">
        <f>SUM(J5651:L5651)</f>
        <v>360</v>
      </c>
      <c r="G5651" s="100">
        <f>SUM(Table3[[#This Row],[Kim Dệt Ngày]:[Kim Khác Đêm]])</f>
        <v>0</v>
      </c>
      <c r="H5651" s="10">
        <v>44753</v>
      </c>
      <c r="I5651" s="10">
        <v>44755</v>
      </c>
      <c r="J5651" s="9">
        <f>72+60</f>
        <v>132</v>
      </c>
      <c r="K5651" s="9"/>
      <c r="L5651" s="9">
        <f>60+84+84</f>
        <v>228</v>
      </c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2624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2243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2243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2687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2243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2243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2243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2080</v>
      </c>
      <c r="C5660" s="9" t="s">
        <v>28</v>
      </c>
      <c r="D5660" s="9"/>
      <c r="E5660" s="10">
        <v>44749</v>
      </c>
      <c r="F5660" s="100">
        <f>SUM(J5660:L5660)</f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35">
      <c r="A5663" s="9" t="s">
        <v>19</v>
      </c>
      <c r="B5663" s="9" t="s">
        <v>2156</v>
      </c>
      <c r="C5663" s="261" t="s">
        <v>2624</v>
      </c>
      <c r="D5663" s="9"/>
      <c r="E5663" s="10">
        <v>44735</v>
      </c>
      <c r="F5663" s="100">
        <f>SUM(J5663:L5663)</f>
        <v>264</v>
      </c>
      <c r="G5663" s="100">
        <f>SUM(Table3[[#This Row],[Kim Dệt Ngày]:[Kim Khác Đêm]])</f>
        <v>0</v>
      </c>
      <c r="H5663" s="10">
        <v>44757</v>
      </c>
      <c r="I5663" s="10"/>
      <c r="J5663" s="9">
        <f>60+60</f>
        <v>120</v>
      </c>
      <c r="K5663" s="9"/>
      <c r="L5663" s="9">
        <f>72+72</f>
        <v>144</v>
      </c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hidden="1" x14ac:dyDescent="0.35">
      <c r="A5665" s="9" t="s">
        <v>74</v>
      </c>
      <c r="B5665" s="9" t="s">
        <v>1413</v>
      </c>
      <c r="C5665" s="9" t="s">
        <v>28</v>
      </c>
      <c r="D5665" s="9"/>
      <c r="E5665" s="10">
        <v>44649</v>
      </c>
      <c r="F5665" s="100">
        <f>SUM(J5665:L5665)</f>
        <v>84</v>
      </c>
      <c r="G5665" s="100">
        <f>SUM(Table3[[#This Row],[Kim Dệt Ngày]:[Kim Khác Đêm]])</f>
        <v>0</v>
      </c>
      <c r="H5665" s="10">
        <v>44753</v>
      </c>
      <c r="I5665" s="10">
        <v>44753</v>
      </c>
      <c r="J5665" s="9">
        <f>36</f>
        <v>36</v>
      </c>
      <c r="K5665" s="9"/>
      <c r="L5665" s="9">
        <f>48</f>
        <v>48</v>
      </c>
      <c r="M5665" s="11"/>
      <c r="N5665" s="11"/>
      <c r="O5665" s="9"/>
      <c r="P5665" s="9"/>
      <c r="Q5665" s="9"/>
    </row>
    <row r="5666" spans="1:17" x14ac:dyDescent="0.35">
      <c r="A5666" s="9" t="s">
        <v>21</v>
      </c>
      <c r="B5666" s="9" t="s">
        <v>1687</v>
      </c>
      <c r="C5666" s="9" t="s">
        <v>18</v>
      </c>
      <c r="D5666" s="9"/>
      <c r="E5666" s="10">
        <v>44755</v>
      </c>
      <c r="F5666" s="100">
        <f>SUM(J5666:L5666)</f>
        <v>300</v>
      </c>
      <c r="G5666" s="100">
        <f>SUM(Table3[[#This Row],[Kim Dệt Ngày]:[Kim Khác Đêm]])</f>
        <v>0</v>
      </c>
      <c r="H5666" s="10">
        <v>44756</v>
      </c>
      <c r="I5666" s="10"/>
      <c r="J5666" s="9">
        <f>24+60</f>
        <v>84</v>
      </c>
      <c r="K5666" s="9"/>
      <c r="L5666" s="9">
        <f>36+60+120</f>
        <v>216</v>
      </c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2080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2080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2590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2592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2590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2080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2080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hidden="1" x14ac:dyDescent="0.35">
      <c r="A5674" s="9" t="s">
        <v>23</v>
      </c>
      <c r="B5674" s="9" t="s">
        <v>1421</v>
      </c>
      <c r="C5674" s="9" t="s">
        <v>25</v>
      </c>
      <c r="D5674" s="9"/>
      <c r="E5674" s="10">
        <v>44742</v>
      </c>
      <c r="F5674" s="100">
        <f>SUM(J5674:L5674)</f>
        <v>492</v>
      </c>
      <c r="G5674" s="100">
        <f>SUM(Table3[[#This Row],[Kim Dệt Ngày]:[Kim Khác Đêm]])</f>
        <v>0</v>
      </c>
      <c r="H5674" s="10">
        <v>44755</v>
      </c>
      <c r="I5674" s="10">
        <v>44758</v>
      </c>
      <c r="J5674" s="9">
        <f>84+84+72</f>
        <v>240</v>
      </c>
      <c r="K5674" s="9"/>
      <c r="L5674" s="9">
        <f>72+84+96</f>
        <v>252</v>
      </c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>SUM(J5675:L5675)</f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hidden="1" x14ac:dyDescent="0.35">
      <c r="A5676" s="9" t="s">
        <v>29</v>
      </c>
      <c r="B5676" s="9" t="s">
        <v>27</v>
      </c>
      <c r="C5676" s="9" t="s">
        <v>25</v>
      </c>
      <c r="D5676" s="9"/>
      <c r="E5676" s="10">
        <v>44742</v>
      </c>
      <c r="F5676" s="100">
        <f>SUM(J5676:L5676)</f>
        <v>444</v>
      </c>
      <c r="G5676" s="100">
        <f>SUM(Table3[[#This Row],[Kim Dệt Ngày]:[Kim Khác Đêm]])</f>
        <v>0</v>
      </c>
      <c r="H5676" s="10">
        <v>44754</v>
      </c>
      <c r="I5676" s="10">
        <v>44756</v>
      </c>
      <c r="J5676" s="9">
        <f>84+96</f>
        <v>180</v>
      </c>
      <c r="K5676" s="9"/>
      <c r="L5676" s="9">
        <f>84+84+96</f>
        <v>264</v>
      </c>
      <c r="M5676" s="11"/>
      <c r="N5676" s="11"/>
      <c r="O5676" s="9"/>
      <c r="P5676" s="9"/>
      <c r="Q5676" s="9"/>
    </row>
    <row r="5677" spans="1:17" x14ac:dyDescent="0.35">
      <c r="A5677" s="9" t="s">
        <v>23</v>
      </c>
      <c r="B5677" s="9" t="s">
        <v>1421</v>
      </c>
      <c r="C5677" s="9" t="s">
        <v>39</v>
      </c>
      <c r="D5677" s="9"/>
      <c r="E5677" s="10">
        <v>44742</v>
      </c>
      <c r="F5677" s="100">
        <f>SUM(J5677:L5677)</f>
        <v>72</v>
      </c>
      <c r="G5677" s="100">
        <f>SUM(Table3[[#This Row],[Kim Dệt Ngày]:[Kim Khác Đêm]])</f>
        <v>0</v>
      </c>
      <c r="H5677" s="10">
        <v>44758</v>
      </c>
      <c r="I5677" s="10"/>
      <c r="J5677" s="9"/>
      <c r="K5677" s="9"/>
      <c r="L5677" s="9">
        <f>72</f>
        <v>72</v>
      </c>
      <c r="M5677" s="11"/>
      <c r="N5677" s="11"/>
      <c r="O5677" s="9"/>
      <c r="P5677" s="9"/>
      <c r="Q5677" s="9"/>
    </row>
    <row r="5678" spans="1:17" hidden="1" x14ac:dyDescent="0.35">
      <c r="A5678" s="9" t="s">
        <v>96</v>
      </c>
      <c r="B5678" s="9" t="s">
        <v>1060</v>
      </c>
      <c r="C5678" s="9" t="s">
        <v>28</v>
      </c>
      <c r="D5678" s="9"/>
      <c r="E5678" s="10">
        <v>44733</v>
      </c>
      <c r="F5678" s="100">
        <f>SUM(J5678:L5678)</f>
        <v>216</v>
      </c>
      <c r="G5678" s="100">
        <f>SUM(Table3[[#This Row],[Kim Dệt Ngày]:[Kim Khác Đêm]])</f>
        <v>0</v>
      </c>
      <c r="H5678" s="10">
        <v>44755</v>
      </c>
      <c r="I5678" s="10">
        <v>44756</v>
      </c>
      <c r="J5678" s="9">
        <f>72</f>
        <v>72</v>
      </c>
      <c r="K5678" s="9"/>
      <c r="L5678" s="9">
        <f>60+84</f>
        <v>144</v>
      </c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2297</v>
      </c>
      <c r="C5679" s="9" t="s">
        <v>135</v>
      </c>
      <c r="D5679" s="9"/>
      <c r="E5679" s="10">
        <v>44736</v>
      </c>
      <c r="F5679" s="100">
        <f>SUM(J5679:L5679)</f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hidden="1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>SUM(J5680:L5680)</f>
        <v>396</v>
      </c>
      <c r="G5680" s="100">
        <f>SUM(Table3[[#This Row],[Kim Dệt Ngày]:[Kim Khác Đêm]])</f>
        <v>3</v>
      </c>
      <c r="H5680" s="10">
        <v>44746</v>
      </c>
      <c r="I5680" s="10">
        <v>44753</v>
      </c>
      <c r="J5680" s="9">
        <f>24+48+36+60+48+36+24</f>
        <v>276</v>
      </c>
      <c r="K5680" s="9"/>
      <c r="L5680" s="9">
        <f>48+72</f>
        <v>120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hidden="1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>SUM(J5682:L5682)</f>
        <v>288</v>
      </c>
      <c r="G5682" s="100">
        <f>SUM(Table3[[#This Row],[Kim Dệt Ngày]:[Kim Khác Đêm]])</f>
        <v>30</v>
      </c>
      <c r="H5682" s="10">
        <v>44744</v>
      </c>
      <c r="I5682" s="10">
        <v>44753</v>
      </c>
      <c r="J5682" s="9">
        <f>36+24+24+12+12+36+24+36</f>
        <v>204</v>
      </c>
      <c r="K5682" s="9"/>
      <c r="L5682" s="9">
        <f>48+24+12</f>
        <v>84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hidden="1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>SUM(J5683:L5683)</f>
        <v>288</v>
      </c>
      <c r="G5683" s="100">
        <f>SUM(Table3[[#This Row],[Kim Dệt Ngày]:[Kim Khác Đêm]])</f>
        <v>0</v>
      </c>
      <c r="H5683" s="10">
        <v>44744</v>
      </c>
      <c r="I5683" s="10">
        <v>44753</v>
      </c>
      <c r="J5683" s="9">
        <f>12+24+24+24+24+36+24+36</f>
        <v>204</v>
      </c>
      <c r="K5683" s="9"/>
      <c r="L5683" s="9">
        <f>24+24+36</f>
        <v>84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>SUM(J5684:L5684)</f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x14ac:dyDescent="0.35">
      <c r="A5685" s="9" t="s">
        <v>26</v>
      </c>
      <c r="B5685" s="9" t="s">
        <v>1198</v>
      </c>
      <c r="C5685" s="9" t="s">
        <v>25</v>
      </c>
      <c r="D5685" s="9"/>
      <c r="E5685" s="10">
        <v>44749</v>
      </c>
      <c r="F5685" s="100">
        <f>SUM(J5685:L5685)</f>
        <v>480</v>
      </c>
      <c r="G5685" s="100">
        <f>SUM(Table3[[#This Row],[Kim Dệt Ngày]:[Kim Khác Đêm]])</f>
        <v>0</v>
      </c>
      <c r="H5685" s="10">
        <v>44750</v>
      </c>
      <c r="I5685" s="10"/>
      <c r="J5685" s="9">
        <f>60+48+12+72+72</f>
        <v>264</v>
      </c>
      <c r="K5685" s="9"/>
      <c r="L5685" s="9">
        <f>60+84+72</f>
        <v>216</v>
      </c>
      <c r="M5685" s="11"/>
      <c r="N5685" s="11"/>
      <c r="O5685" s="9"/>
      <c r="P5685" s="9"/>
      <c r="Q5685" s="9"/>
    </row>
    <row r="5686" spans="1:17" x14ac:dyDescent="0.35">
      <c r="A5686" s="9" t="s">
        <v>29</v>
      </c>
      <c r="B5686" s="9" t="s">
        <v>24</v>
      </c>
      <c r="C5686" s="9" t="s">
        <v>25</v>
      </c>
      <c r="D5686" s="9"/>
      <c r="E5686" s="10">
        <v>44756</v>
      </c>
      <c r="F5686" s="100">
        <f>SUM(J5686:L5686)</f>
        <v>312</v>
      </c>
      <c r="G5686" s="100">
        <f>SUM(Table3[[#This Row],[Kim Dệt Ngày]:[Kim Khác Đêm]])</f>
        <v>0</v>
      </c>
      <c r="H5686" s="10">
        <v>44757</v>
      </c>
      <c r="I5686" s="10"/>
      <c r="J5686" s="9">
        <f>60+72</f>
        <v>132</v>
      </c>
      <c r="K5686" s="9"/>
      <c r="L5686" s="9">
        <f>96+84</f>
        <v>180</v>
      </c>
      <c r="M5686" s="11"/>
      <c r="N5686" s="11"/>
      <c r="O5686" s="9"/>
      <c r="P5686" s="9"/>
      <c r="Q5686" s="9"/>
    </row>
    <row r="5687" spans="1:17" x14ac:dyDescent="0.35">
      <c r="A5687" s="9" t="s">
        <v>31</v>
      </c>
      <c r="B5687" s="9" t="s">
        <v>234</v>
      </c>
      <c r="C5687" s="9" t="s">
        <v>28</v>
      </c>
      <c r="D5687" s="9"/>
      <c r="E5687" s="10">
        <v>44754</v>
      </c>
      <c r="F5687" s="100">
        <f>SUM(J5687:L5687)</f>
        <v>852</v>
      </c>
      <c r="G5687" s="100">
        <f>SUM(Table3[[#This Row],[Kim Dệt Ngày]:[Kim Khác Đêm]])</f>
        <v>0</v>
      </c>
      <c r="H5687" s="10">
        <v>44754</v>
      </c>
      <c r="I5687" s="10"/>
      <c r="J5687" s="9">
        <f>72+84+84+84+72</f>
        <v>396</v>
      </c>
      <c r="K5687" s="9"/>
      <c r="L5687" s="9">
        <f>96+84+96+84+96</f>
        <v>456</v>
      </c>
      <c r="M5687" s="11"/>
      <c r="N5687" s="11"/>
      <c r="O5687" s="9"/>
      <c r="P5687" s="9"/>
      <c r="Q5687" s="9"/>
    </row>
    <row r="5688" spans="1:17" x14ac:dyDescent="0.35">
      <c r="A5688" s="9" t="s">
        <v>33</v>
      </c>
      <c r="B5688" s="9" t="s">
        <v>2603</v>
      </c>
      <c r="C5688" s="9" t="s">
        <v>39</v>
      </c>
      <c r="D5688" s="9"/>
      <c r="E5688" s="10">
        <v>44754</v>
      </c>
      <c r="F5688" s="100">
        <f>SUM(J5688:L5688)</f>
        <v>660</v>
      </c>
      <c r="G5688" s="100">
        <f>SUM(Table3[[#This Row],[Kim Dệt Ngày]:[Kim Khác Đêm]])</f>
        <v>0</v>
      </c>
      <c r="H5688" s="10">
        <v>44755</v>
      </c>
      <c r="I5688" s="10"/>
      <c r="J5688" s="9">
        <f>72+72+84+72</f>
        <v>300</v>
      </c>
      <c r="K5688" s="9"/>
      <c r="L5688" s="9">
        <f>96+84+84+96</f>
        <v>360</v>
      </c>
      <c r="M5688" s="11"/>
      <c r="N5688" s="11"/>
      <c r="O5688" s="9"/>
      <c r="P5688" s="9"/>
      <c r="Q5688" s="9"/>
    </row>
    <row r="5689" spans="1:17" hidden="1" x14ac:dyDescent="0.35">
      <c r="A5689" s="9" t="s">
        <v>43</v>
      </c>
      <c r="B5689" s="9" t="s">
        <v>582</v>
      </c>
      <c r="C5689" s="9" t="s">
        <v>28</v>
      </c>
      <c r="D5689" s="9"/>
      <c r="E5689" s="10">
        <v>44742</v>
      </c>
      <c r="F5689" s="100">
        <f>SUM(J5689:L5689)</f>
        <v>876</v>
      </c>
      <c r="G5689" s="100">
        <f>SUM(Table3[[#This Row],[Kim Dệt Ngày]:[Kim Khác Đêm]])</f>
        <v>0</v>
      </c>
      <c r="H5689" s="10">
        <v>44743</v>
      </c>
      <c r="I5689" s="10">
        <v>44753</v>
      </c>
      <c r="J5689" s="9">
        <f>60+84+84+72+60+96+84+48+48</f>
        <v>636</v>
      </c>
      <c r="K5689" s="9"/>
      <c r="L5689" s="9">
        <f>84+96+60</f>
        <v>240</v>
      </c>
      <c r="M5689" s="11"/>
      <c r="N5689" s="11"/>
      <c r="O5689" s="9"/>
      <c r="P5689" s="9"/>
      <c r="Q5689" s="9"/>
    </row>
    <row r="5690" spans="1:17" hidden="1" x14ac:dyDescent="0.35">
      <c r="A5690" s="9" t="s">
        <v>63</v>
      </c>
      <c r="B5690" s="157" t="s">
        <v>1088</v>
      </c>
      <c r="C5690" s="9" t="s">
        <v>2592</v>
      </c>
      <c r="D5690" s="9"/>
      <c r="E5690" s="10">
        <v>44727</v>
      </c>
      <c r="F5690" s="100">
        <f>SUM(J5690:L5690)</f>
        <v>132</v>
      </c>
      <c r="G5690" s="100">
        <f>SUM(Table3[[#This Row],[Kim Dệt Ngày]:[Kim Khác Đêm]])</f>
        <v>0</v>
      </c>
      <c r="H5690" s="10">
        <v>44749</v>
      </c>
      <c r="I5690" s="10">
        <v>44752</v>
      </c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>SUM(J5692:L5692)</f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2592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hidden="1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>SUM(J5695:L5695)</f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hidden="1" x14ac:dyDescent="0.35">
      <c r="A5696" s="9" t="s">
        <v>63</v>
      </c>
      <c r="B5696" s="9" t="s">
        <v>2151</v>
      </c>
      <c r="C5696" s="9" t="s">
        <v>2155</v>
      </c>
      <c r="D5696" s="9"/>
      <c r="E5696" s="10">
        <v>44735</v>
      </c>
      <c r="F5696" s="100">
        <f>SUM(J5696:L5696)</f>
        <v>108</v>
      </c>
      <c r="G5696" s="100">
        <f>SUM(Table3[[#This Row],[Kim Dệt Ngày]:[Kim Khác Đêm]])</f>
        <v>0</v>
      </c>
      <c r="H5696" s="10">
        <v>44751</v>
      </c>
      <c r="I5696" s="10">
        <v>44753</v>
      </c>
      <c r="J5696" s="9">
        <f>24+24</f>
        <v>48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hidden="1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>SUM(J5697:L5697)</f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2752</v>
      </c>
      <c r="C5698" s="9" t="s">
        <v>28</v>
      </c>
      <c r="D5698" s="9"/>
      <c r="E5698" s="10">
        <v>44749</v>
      </c>
      <c r="F5698" s="100">
        <f>SUM(J5698:L5698)</f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hidden="1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>SUM(J5699:L5699)</f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hidden="1" x14ac:dyDescent="0.35">
      <c r="A5700" s="9" t="s">
        <v>46</v>
      </c>
      <c r="B5700" s="9" t="s">
        <v>772</v>
      </c>
      <c r="C5700" s="9" t="s">
        <v>28</v>
      </c>
      <c r="D5700" s="9"/>
      <c r="E5700" s="10">
        <v>44739</v>
      </c>
      <c r="F5700" s="100">
        <f>SUM(J5700:L5700)</f>
        <v>984</v>
      </c>
      <c r="G5700" s="100">
        <f>SUM(Table3[[#This Row],[Kim Dệt Ngày]:[Kim Khác Đêm]])</f>
        <v>4</v>
      </c>
      <c r="H5700" s="10">
        <v>44743</v>
      </c>
      <c r="I5700" s="10">
        <v>44753</v>
      </c>
      <c r="J5700" s="9">
        <f>72+72+60+60+60+84+84+36+72</f>
        <v>600</v>
      </c>
      <c r="K5700" s="9"/>
      <c r="L5700" s="9">
        <f>96+84+48+72+84</f>
        <v>384</v>
      </c>
      <c r="M5700" s="11">
        <f>1+3</f>
        <v>4</v>
      </c>
      <c r="N5700" s="11"/>
      <c r="O5700" s="9"/>
      <c r="P5700" s="9"/>
      <c r="Q5700" s="9"/>
    </row>
    <row r="5701" spans="1:17" x14ac:dyDescent="0.35">
      <c r="A5701" s="9" t="s">
        <v>35</v>
      </c>
      <c r="B5701" s="9" t="s">
        <v>2603</v>
      </c>
      <c r="C5701" s="9" t="s">
        <v>18</v>
      </c>
      <c r="D5701" s="9"/>
      <c r="E5701" s="10">
        <v>44754</v>
      </c>
      <c r="F5701" s="100">
        <f>SUM(J5701:L5701)</f>
        <v>624</v>
      </c>
      <c r="G5701" s="100">
        <f>SUM(Table3[[#This Row],[Kim Dệt Ngày]:[Kim Khác Đêm]])</f>
        <v>0</v>
      </c>
      <c r="H5701" s="10">
        <v>44755</v>
      </c>
      <c r="I5701" s="10"/>
      <c r="J5701" s="9">
        <f>84+84+72+72</f>
        <v>312</v>
      </c>
      <c r="K5701" s="9"/>
      <c r="L5701" s="9">
        <f>72+84+72+84</f>
        <v>312</v>
      </c>
      <c r="M5701" s="11"/>
      <c r="N5701" s="11"/>
      <c r="O5701" s="9"/>
      <c r="P5701" s="9"/>
      <c r="Q5701" s="9"/>
    </row>
    <row r="5702" spans="1:17" hidden="1" x14ac:dyDescent="0.35">
      <c r="A5702" s="9" t="s">
        <v>70</v>
      </c>
      <c r="B5702" s="9" t="s">
        <v>429</v>
      </c>
      <c r="C5702" s="9" t="s">
        <v>131</v>
      </c>
      <c r="D5702" s="9"/>
      <c r="E5702" s="10">
        <v>44746</v>
      </c>
      <c r="F5702" s="100">
        <f>SUM(J5702:L5702)</f>
        <v>324</v>
      </c>
      <c r="G5702" s="100">
        <f>SUM(Table3[[#This Row],[Kim Dệt Ngày]:[Kim Khác Đêm]])</f>
        <v>0</v>
      </c>
      <c r="H5702" s="10">
        <v>44751</v>
      </c>
      <c r="I5702" s="10">
        <v>44753</v>
      </c>
      <c r="J5702" s="9">
        <f>60+48</f>
        <v>108</v>
      </c>
      <c r="K5702" s="9"/>
      <c r="L5702" s="9">
        <f>108+108</f>
        <v>216</v>
      </c>
      <c r="M5702" s="11"/>
      <c r="N5702" s="11"/>
      <c r="O5702" s="9"/>
      <c r="P5702" s="9"/>
      <c r="Q5702" s="9"/>
    </row>
    <row r="5703" spans="1:17" hidden="1" x14ac:dyDescent="0.35">
      <c r="A5703" s="9" t="s">
        <v>38</v>
      </c>
      <c r="B5703" s="9" t="s">
        <v>1596</v>
      </c>
      <c r="C5703" s="9" t="s">
        <v>18</v>
      </c>
      <c r="D5703" s="9"/>
      <c r="E5703" s="10">
        <v>44755</v>
      </c>
      <c r="F5703" s="100">
        <f>SUM(J5703:L5703)</f>
        <v>300</v>
      </c>
      <c r="G5703" s="100">
        <f>SUM(Table3[[#This Row],[Kim Dệt Ngày]:[Kim Khác Đêm]])</f>
        <v>0</v>
      </c>
      <c r="H5703" s="10">
        <v>44756</v>
      </c>
      <c r="I5703" s="10">
        <v>44757</v>
      </c>
      <c r="J5703" s="9">
        <f>72+60</f>
        <v>132</v>
      </c>
      <c r="K5703" s="9"/>
      <c r="L5703" s="9">
        <f>84+84</f>
        <v>168</v>
      </c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>SUM(J5704:L5704)</f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>SUM(J5705:L5705)</f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hidden="1" x14ac:dyDescent="0.35">
      <c r="A5706" s="9" t="s">
        <v>72</v>
      </c>
      <c r="B5706" s="9" t="s">
        <v>239</v>
      </c>
      <c r="C5706" s="9" t="s">
        <v>18</v>
      </c>
      <c r="D5706" s="9"/>
      <c r="E5706" s="10">
        <v>44718</v>
      </c>
      <c r="F5706" s="100">
        <f>SUM(J5706:L5706)</f>
        <v>300</v>
      </c>
      <c r="G5706" s="100">
        <f>SUM(Table3[[#This Row],[Kim Dệt Ngày]:[Kim Khác Đêm]])</f>
        <v>0</v>
      </c>
      <c r="H5706" s="10">
        <v>44749</v>
      </c>
      <c r="I5706" s="10">
        <v>44753</v>
      </c>
      <c r="J5706" s="9">
        <f>48+48+12</f>
        <v>108</v>
      </c>
      <c r="K5706" s="9"/>
      <c r="L5706" s="9">
        <f>48+48+48+48</f>
        <v>192</v>
      </c>
      <c r="M5706" s="11"/>
      <c r="N5706" s="11"/>
      <c r="O5706" s="9"/>
      <c r="P5706" s="9"/>
      <c r="Q5706" s="9"/>
    </row>
    <row r="5707" spans="1:17" hidden="1" x14ac:dyDescent="0.35">
      <c r="A5707" s="9" t="s">
        <v>74</v>
      </c>
      <c r="B5707" s="9" t="s">
        <v>1413</v>
      </c>
      <c r="C5707" s="9" t="s">
        <v>25</v>
      </c>
      <c r="D5707" s="9"/>
      <c r="E5707" s="10">
        <v>44649</v>
      </c>
      <c r="F5707" s="100">
        <f>SUM(J5707:L5707)</f>
        <v>312</v>
      </c>
      <c r="G5707" s="100">
        <f>SUM(Table3[[#This Row],[Kim Dệt Ngày]:[Kim Khác Đêm]])</f>
        <v>0</v>
      </c>
      <c r="H5707" s="10">
        <v>44749</v>
      </c>
      <c r="I5707" s="10">
        <v>44753</v>
      </c>
      <c r="J5707" s="9">
        <f>48+36+12</f>
        <v>96</v>
      </c>
      <c r="K5707" s="9"/>
      <c r="L5707" s="9">
        <f>48+60+60+48</f>
        <v>216</v>
      </c>
      <c r="M5707" s="11"/>
      <c r="N5707" s="11"/>
      <c r="O5707" s="9"/>
      <c r="P5707" s="9"/>
      <c r="Q5707" s="9"/>
    </row>
    <row r="5708" spans="1:17" x14ac:dyDescent="0.35">
      <c r="A5708" s="9" t="s">
        <v>37</v>
      </c>
      <c r="B5708" s="9" t="s">
        <v>30</v>
      </c>
      <c r="C5708" s="9" t="s">
        <v>39</v>
      </c>
      <c r="D5708" s="9"/>
      <c r="E5708" s="10">
        <v>44756</v>
      </c>
      <c r="F5708" s="100">
        <f>SUM(J5708:L5708)</f>
        <v>324</v>
      </c>
      <c r="G5708" s="100">
        <f>SUM(Table3[[#This Row],[Kim Dệt Ngày]:[Kim Khác Đêm]])</f>
        <v>0</v>
      </c>
      <c r="H5708" s="10">
        <v>44757</v>
      </c>
      <c r="I5708" s="144"/>
      <c r="J5708" s="14">
        <f>72+72</f>
        <v>144</v>
      </c>
      <c r="K5708" s="14"/>
      <c r="L5708" s="14">
        <f>96+84</f>
        <v>180</v>
      </c>
      <c r="M5708" s="146"/>
      <c r="N5708" s="146"/>
      <c r="O5708" s="14"/>
      <c r="P5708" s="14"/>
      <c r="Q5708" s="14"/>
    </row>
    <row r="5709" spans="1:17" hidden="1" x14ac:dyDescent="0.35">
      <c r="A5709" s="9" t="s">
        <v>49</v>
      </c>
      <c r="B5709" s="150" t="s">
        <v>1510</v>
      </c>
      <c r="C5709" s="9" t="s">
        <v>18</v>
      </c>
      <c r="D5709" s="9"/>
      <c r="E5709" s="10">
        <v>44754</v>
      </c>
      <c r="F5709" s="100">
        <f>SUM(J5709:L5709)</f>
        <v>48</v>
      </c>
      <c r="G5709" s="100">
        <f>SUM(Table3[[#This Row],[Kim Dệt Ngày]:[Kim Khác Đêm]])</f>
        <v>0</v>
      </c>
      <c r="H5709" s="10">
        <v>44755</v>
      </c>
      <c r="I5709" s="10">
        <v>44755</v>
      </c>
      <c r="J5709" s="9">
        <f>48</f>
        <v>48</v>
      </c>
      <c r="K5709" s="9"/>
      <c r="L5709" s="9"/>
      <c r="M5709" s="11"/>
      <c r="N5709" s="11"/>
      <c r="O5709" s="9"/>
      <c r="P5709" s="9"/>
      <c r="Q5709" s="9"/>
    </row>
    <row r="5710" spans="1:17" hidden="1" x14ac:dyDescent="0.35">
      <c r="A5710" s="9" t="s">
        <v>78</v>
      </c>
      <c r="B5710" s="9" t="s">
        <v>1336</v>
      </c>
      <c r="C5710" s="9" t="s">
        <v>39</v>
      </c>
      <c r="D5710" s="9"/>
      <c r="E5710" s="10">
        <v>44750</v>
      </c>
      <c r="F5710" s="100">
        <f>SUM(J5710:L5710)</f>
        <v>276</v>
      </c>
      <c r="G5710" s="100">
        <f>SUM(Table3[[#This Row],[Kim Dệt Ngày]:[Kim Khác Đêm]])</f>
        <v>0</v>
      </c>
      <c r="H5710" s="10">
        <v>44751</v>
      </c>
      <c r="I5710" s="10">
        <v>44753</v>
      </c>
      <c r="J5710" s="9">
        <f>72+24</f>
        <v>96</v>
      </c>
      <c r="K5710" s="9"/>
      <c r="L5710" s="9">
        <f>96+84</f>
        <v>180</v>
      </c>
      <c r="M5710" s="11"/>
      <c r="N5710" s="11"/>
      <c r="O5710" s="9"/>
      <c r="P5710" s="9"/>
      <c r="Q5710" s="9"/>
    </row>
    <row r="5711" spans="1:17" hidden="1" x14ac:dyDescent="0.35">
      <c r="A5711" s="9" t="s">
        <v>85</v>
      </c>
      <c r="B5711" s="157" t="s">
        <v>1088</v>
      </c>
      <c r="C5711" s="9" t="s">
        <v>2592</v>
      </c>
      <c r="D5711" s="9"/>
      <c r="E5711" s="10">
        <v>44727</v>
      </c>
      <c r="F5711" s="100">
        <f>SUM(J5711:L5711)</f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hidden="1" x14ac:dyDescent="0.35">
      <c r="A5712" s="9" t="s">
        <v>80</v>
      </c>
      <c r="B5712" s="261" t="s">
        <v>1070</v>
      </c>
      <c r="C5712" s="9" t="s">
        <v>18</v>
      </c>
      <c r="D5712" s="9"/>
      <c r="E5712" s="10">
        <v>44749</v>
      </c>
      <c r="F5712" s="100">
        <f>SUM(J5712:L5712)</f>
        <v>300</v>
      </c>
      <c r="G5712" s="100">
        <f>SUM(Table3[[#This Row],[Kim Dệt Ngày]:[Kim Khác Đêm]])</f>
        <v>0</v>
      </c>
      <c r="H5712" s="10">
        <v>44750</v>
      </c>
      <c r="I5712" s="10">
        <v>44752</v>
      </c>
      <c r="J5712" s="9">
        <f>72+60</f>
        <v>132</v>
      </c>
      <c r="K5712" s="9"/>
      <c r="L5712" s="9">
        <f>84+84</f>
        <v>168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2603</v>
      </c>
      <c r="C5713" s="9" t="s">
        <v>39</v>
      </c>
      <c r="D5713" s="9"/>
      <c r="E5713" s="10">
        <v>44741</v>
      </c>
      <c r="F5713" s="100">
        <f>SUM(J5713:L5713)</f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2603</v>
      </c>
      <c r="C5714" s="9" t="s">
        <v>28</v>
      </c>
      <c r="D5714" s="9"/>
      <c r="E5714" s="10">
        <v>44741</v>
      </c>
      <c r="F5714" s="100">
        <f>SUM(J5714:L5714)</f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2603</v>
      </c>
      <c r="C5715" s="9" t="s">
        <v>25</v>
      </c>
      <c r="D5715" s="9"/>
      <c r="E5715" s="10">
        <v>44741</v>
      </c>
      <c r="F5715" s="100">
        <f>SUM(J5715:L5715)</f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2603</v>
      </c>
      <c r="C5716" s="9" t="s">
        <v>18</v>
      </c>
      <c r="D5716" s="9"/>
      <c r="E5716" s="10">
        <v>44741</v>
      </c>
      <c r="F5716" s="100">
        <f>SUM(J5716:L5716)</f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2603</v>
      </c>
      <c r="C5717" s="9" t="s">
        <v>28</v>
      </c>
      <c r="D5717" s="9"/>
      <c r="E5717" s="10">
        <v>44741</v>
      </c>
      <c r="F5717" s="100">
        <f>SUM(J5717:L5717)</f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hidden="1" x14ac:dyDescent="0.35">
      <c r="A5718" s="9" t="s">
        <v>44</v>
      </c>
      <c r="B5718" s="150" t="s">
        <v>2080</v>
      </c>
      <c r="C5718" s="9" t="s">
        <v>28</v>
      </c>
      <c r="D5718" s="9"/>
      <c r="E5718" s="10">
        <v>44749</v>
      </c>
      <c r="F5718" s="100">
        <f>SUM(J5718:L5718)</f>
        <v>60</v>
      </c>
      <c r="G5718" s="100">
        <f>SUM(Table3[[#This Row],[Kim Dệt Ngày]:[Kim Khác Đêm]])</f>
        <v>0</v>
      </c>
      <c r="H5718" s="10">
        <v>44750</v>
      </c>
      <c r="I5718" s="10">
        <v>44753</v>
      </c>
      <c r="J5718" s="9">
        <f>24+24+12</f>
        <v>60</v>
      </c>
      <c r="K5718" s="9"/>
      <c r="L5718" s="9"/>
      <c r="M5718" s="11"/>
      <c r="N5718" s="11"/>
      <c r="O5718" s="9"/>
      <c r="P5718" s="9"/>
      <c r="Q5718" s="9"/>
    </row>
    <row r="5719" spans="1:17" hidden="1" x14ac:dyDescent="0.35">
      <c r="A5719" s="9" t="s">
        <v>83</v>
      </c>
      <c r="B5719" s="161" t="s">
        <v>1071</v>
      </c>
      <c r="C5719" s="9" t="s">
        <v>18</v>
      </c>
      <c r="D5719" s="9"/>
      <c r="E5719" s="10">
        <v>44749</v>
      </c>
      <c r="F5719" s="100">
        <f>SUM(J5719:L5719)</f>
        <v>276</v>
      </c>
      <c r="G5719" s="100">
        <f>SUM(Table3[[#This Row],[Kim Dệt Ngày]:[Kim Khác Đêm]])</f>
        <v>0</v>
      </c>
      <c r="H5719" s="10">
        <v>44750</v>
      </c>
      <c r="I5719" s="10">
        <v>44752</v>
      </c>
      <c r="J5719" s="9">
        <f>72+60</f>
        <v>132</v>
      </c>
      <c r="K5719" s="9"/>
      <c r="L5719" s="9">
        <f>72+72</f>
        <v>144</v>
      </c>
      <c r="M5719" s="11"/>
      <c r="N5719" s="11"/>
      <c r="O5719" s="9"/>
      <c r="P5719" s="9"/>
      <c r="Q5719" s="9"/>
    </row>
    <row r="5720" spans="1:17" hidden="1" x14ac:dyDescent="0.35">
      <c r="A5720" s="9" t="s">
        <v>66</v>
      </c>
      <c r="B5720" s="150" t="s">
        <v>2297</v>
      </c>
      <c r="C5720" s="9" t="s">
        <v>79</v>
      </c>
      <c r="D5720" s="9"/>
      <c r="E5720" s="10">
        <v>44736</v>
      </c>
      <c r="F5720" s="100">
        <f>SUM(J5720:L5720)</f>
        <v>360</v>
      </c>
      <c r="G5720" s="100">
        <f>SUM(Table3[[#This Row],[Kim Dệt Ngày]:[Kim Khác Đêm]])</f>
        <v>0</v>
      </c>
      <c r="H5720" s="10">
        <v>44743</v>
      </c>
      <c r="I5720" s="10">
        <v>44755</v>
      </c>
      <c r="J5720" s="9">
        <f>36+36+24+36+36+36+24+36+24+36</f>
        <v>324</v>
      </c>
      <c r="K5720" s="9"/>
      <c r="L5720" s="9">
        <f>36</f>
        <v>36</v>
      </c>
      <c r="M5720" s="11"/>
      <c r="N5720" s="11"/>
      <c r="O5720" s="9"/>
      <c r="P5720" s="9"/>
      <c r="Q5720" s="9"/>
    </row>
    <row r="5721" spans="1:17" hidden="1" x14ac:dyDescent="0.35">
      <c r="A5721" s="9" t="s">
        <v>53</v>
      </c>
      <c r="B5721" s="9" t="s">
        <v>1442</v>
      </c>
      <c r="C5721" s="9" t="s">
        <v>25</v>
      </c>
      <c r="D5721" s="9"/>
      <c r="E5721" s="10">
        <v>44754</v>
      </c>
      <c r="F5721" s="100">
        <f>SUM(J5721:L5721)</f>
        <v>12</v>
      </c>
      <c r="G5721" s="100">
        <f>SUM(Table3[[#This Row],[Kim Dệt Ngày]:[Kim Khác Đêm]])</f>
        <v>0</v>
      </c>
      <c r="H5721" s="10">
        <v>44755</v>
      </c>
      <c r="I5721" s="10">
        <v>44755</v>
      </c>
      <c r="J5721" s="9">
        <f>12</f>
        <v>12</v>
      </c>
      <c r="K5721" s="9"/>
      <c r="L5721" s="9"/>
      <c r="M5721" s="11"/>
      <c r="N5721" s="11"/>
      <c r="O5721" s="9"/>
      <c r="P5721" s="9"/>
      <c r="Q5721" s="9"/>
    </row>
    <row r="5722" spans="1:17" x14ac:dyDescent="0.35">
      <c r="A5722" s="9" t="s">
        <v>38</v>
      </c>
      <c r="B5722" s="9" t="s">
        <v>1596</v>
      </c>
      <c r="C5722" s="9" t="s">
        <v>25</v>
      </c>
      <c r="D5722" s="9"/>
      <c r="E5722" s="10">
        <v>44755</v>
      </c>
      <c r="F5722" s="100">
        <f>SUM(J5722:L5722)</f>
        <v>144</v>
      </c>
      <c r="G5722" s="100">
        <f>SUM(Table3[[#This Row],[Kim Dệt Ngày]:[Kim Khác Đêm]])</f>
        <v>0</v>
      </c>
      <c r="H5722" s="10">
        <v>44758</v>
      </c>
      <c r="I5722" s="10"/>
      <c r="J5722" s="9">
        <f>60</f>
        <v>60</v>
      </c>
      <c r="K5722" s="9"/>
      <c r="L5722" s="9">
        <f>84</f>
        <v>84</v>
      </c>
      <c r="M5722" s="11"/>
      <c r="N5722" s="11"/>
      <c r="O5722" s="9"/>
      <c r="P5722" s="9"/>
      <c r="Q5722" s="9"/>
    </row>
    <row r="5723" spans="1:17" x14ac:dyDescent="0.35">
      <c r="A5723" s="9" t="s">
        <v>40</v>
      </c>
      <c r="B5723" s="9" t="s">
        <v>1601</v>
      </c>
      <c r="C5723" s="9" t="s">
        <v>28</v>
      </c>
      <c r="D5723" s="9"/>
      <c r="E5723" s="10">
        <v>44741</v>
      </c>
      <c r="F5723" s="100">
        <f>SUM(J5723:L5723)</f>
        <v>204</v>
      </c>
      <c r="G5723" s="100">
        <f>SUM(Table3[[#This Row],[Kim Dệt Ngày]:[Kim Khác Đêm]])</f>
        <v>0</v>
      </c>
      <c r="H5723" s="10">
        <v>44750</v>
      </c>
      <c r="I5723" s="10"/>
      <c r="J5723" s="9">
        <f>48+60+24</f>
        <v>132</v>
      </c>
      <c r="K5723" s="9"/>
      <c r="L5723" s="9">
        <f>72</f>
        <v>72</v>
      </c>
      <c r="M5723" s="11"/>
      <c r="N5723" s="11"/>
      <c r="O5723" s="9"/>
      <c r="P5723" s="9"/>
      <c r="Q5723" s="9"/>
    </row>
    <row r="5724" spans="1:17" x14ac:dyDescent="0.35">
      <c r="A5724" s="9" t="s">
        <v>42</v>
      </c>
      <c r="B5724" s="161" t="s">
        <v>1071</v>
      </c>
      <c r="C5724" s="9" t="s">
        <v>18</v>
      </c>
      <c r="D5724" s="9"/>
      <c r="E5724" s="10">
        <v>44749</v>
      </c>
      <c r="F5724" s="100">
        <f>SUM(J5724:L5724)</f>
        <v>624</v>
      </c>
      <c r="G5724" s="100">
        <f>SUM(Table3[[#This Row],[Kim Dệt Ngày]:[Kim Khác Đêm]])</f>
        <v>0</v>
      </c>
      <c r="H5724" s="10">
        <v>44743</v>
      </c>
      <c r="I5724" s="10"/>
      <c r="J5724" s="9">
        <f>48+36+24+72+48+96+48+60</f>
        <v>432</v>
      </c>
      <c r="K5724" s="9"/>
      <c r="L5724" s="9">
        <f>48+84+60</f>
        <v>192</v>
      </c>
      <c r="M5724" s="11"/>
      <c r="N5724" s="11"/>
      <c r="O5724" s="9"/>
      <c r="P5724" s="9"/>
      <c r="Q5724" s="9"/>
    </row>
    <row r="5725" spans="1:17" hidden="1" x14ac:dyDescent="0.35">
      <c r="A5725" s="9" t="s">
        <v>49</v>
      </c>
      <c r="B5725" s="9" t="s">
        <v>1510</v>
      </c>
      <c r="C5725" s="9" t="s">
        <v>18</v>
      </c>
      <c r="D5725" s="9"/>
      <c r="E5725" s="10">
        <v>44721</v>
      </c>
      <c r="F5725" s="100">
        <f>SUM(J5725:L5725)</f>
        <v>276</v>
      </c>
      <c r="G5725" s="100">
        <f>SUM(Table3[[#This Row],[Kim Dệt Ngày]:[Kim Khác Đêm]])</f>
        <v>0</v>
      </c>
      <c r="H5725" s="10">
        <v>44750</v>
      </c>
      <c r="I5725" s="10">
        <v>44754</v>
      </c>
      <c r="J5725" s="9">
        <f>24+24+36+48</f>
        <v>132</v>
      </c>
      <c r="K5725" s="9"/>
      <c r="L5725" s="9">
        <f>48+48+48</f>
        <v>144</v>
      </c>
      <c r="M5725" s="11"/>
      <c r="N5725" s="11"/>
      <c r="O5725" s="9"/>
      <c r="P5725" s="9"/>
      <c r="Q5725" s="9"/>
    </row>
    <row r="5726" spans="1:17" hidden="1" x14ac:dyDescent="0.35">
      <c r="A5726" s="9" t="s">
        <v>51</v>
      </c>
      <c r="B5726" s="9" t="s">
        <v>1510</v>
      </c>
      <c r="C5726" s="9" t="s">
        <v>28</v>
      </c>
      <c r="D5726" s="9"/>
      <c r="E5726" s="10">
        <v>44721</v>
      </c>
      <c r="F5726" s="100">
        <f>SUM(J5726:L5726)</f>
        <v>240</v>
      </c>
      <c r="G5726" s="100">
        <f>SUM(Table3[[#This Row],[Kim Dệt Ngày]:[Kim Khác Đêm]])</f>
        <v>0</v>
      </c>
      <c r="H5726" s="10">
        <v>44753</v>
      </c>
      <c r="I5726" s="10">
        <v>44754</v>
      </c>
      <c r="J5726" s="9">
        <f>36+72</f>
        <v>108</v>
      </c>
      <c r="K5726" s="9"/>
      <c r="L5726" s="9">
        <f>72+60</f>
        <v>132</v>
      </c>
      <c r="M5726" s="11"/>
      <c r="N5726" s="11"/>
      <c r="O5726" s="9"/>
      <c r="P5726" s="9"/>
      <c r="Q5726" s="9"/>
    </row>
    <row r="5727" spans="1:17" hidden="1" x14ac:dyDescent="0.35">
      <c r="A5727" s="9" t="s">
        <v>101</v>
      </c>
      <c r="B5727" s="9" t="s">
        <v>2243</v>
      </c>
      <c r="C5727" s="9" t="s">
        <v>18</v>
      </c>
      <c r="D5727" s="9"/>
      <c r="E5727" s="10">
        <v>44749</v>
      </c>
      <c r="F5727" s="100">
        <f>SUM(J5727:L5727)</f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x14ac:dyDescent="0.35">
      <c r="A5728" s="9" t="s">
        <v>43</v>
      </c>
      <c r="B5728" s="9" t="s">
        <v>582</v>
      </c>
      <c r="C5728" s="9" t="s">
        <v>28</v>
      </c>
      <c r="D5728" s="9"/>
      <c r="E5728" s="10">
        <v>44753</v>
      </c>
      <c r="F5728" s="100">
        <f>SUM(J5728:L5728)</f>
        <v>648</v>
      </c>
      <c r="G5728" s="100">
        <f>SUM(Table3[[#This Row],[Kim Dệt Ngày]:[Kim Khác Đêm]])</f>
        <v>0</v>
      </c>
      <c r="H5728" s="10">
        <v>44754</v>
      </c>
      <c r="I5728" s="10"/>
      <c r="J5728" s="9">
        <f>84+72+96+84+60</f>
        <v>396</v>
      </c>
      <c r="K5728" s="9"/>
      <c r="L5728" s="9">
        <f>60+108+84</f>
        <v>252</v>
      </c>
      <c r="M5728" s="11"/>
      <c r="N5728" s="11"/>
      <c r="O5728" s="9"/>
      <c r="P5728" s="9"/>
      <c r="Q5728" s="9"/>
    </row>
    <row r="5729" spans="1:17" hidden="1" x14ac:dyDescent="0.35">
      <c r="A5729" s="9" t="s">
        <v>44</v>
      </c>
      <c r="B5729" s="9" t="s">
        <v>2080</v>
      </c>
      <c r="C5729" s="9" t="s">
        <v>39</v>
      </c>
      <c r="D5729" s="9"/>
      <c r="E5729" s="10">
        <v>44749</v>
      </c>
      <c r="F5729" s="100">
        <f>SUM(J5729:L5729)</f>
        <v>96</v>
      </c>
      <c r="G5729" s="100">
        <f>SUM(Table3[[#This Row],[Kim Dệt Ngày]:[Kim Khác Đêm]])</f>
        <v>0</v>
      </c>
      <c r="H5729" s="10">
        <v>44754</v>
      </c>
      <c r="I5729" s="10">
        <v>44755</v>
      </c>
      <c r="J5729" s="9">
        <f>48+48</f>
        <v>96</v>
      </c>
      <c r="K5729" s="9"/>
      <c r="L5729" s="9"/>
      <c r="M5729" s="11"/>
      <c r="N5729" s="11"/>
      <c r="O5729" s="9"/>
      <c r="P5729" s="9"/>
      <c r="Q5729" s="9"/>
    </row>
    <row r="5730" spans="1:17" hidden="1" x14ac:dyDescent="0.35">
      <c r="A5730" s="9" t="s">
        <v>56</v>
      </c>
      <c r="B5730" s="9" t="s">
        <v>2243</v>
      </c>
      <c r="C5730" s="9" t="s">
        <v>28</v>
      </c>
      <c r="D5730" s="9"/>
      <c r="E5730" s="10">
        <v>44749</v>
      </c>
      <c r="F5730" s="100">
        <f>SUM(J5730:L5730)</f>
        <v>372</v>
      </c>
      <c r="G5730" s="100">
        <f>SUM(Table3[[#This Row],[Kim Dệt Ngày]:[Kim Khác Đêm]])</f>
        <v>0</v>
      </c>
      <c r="H5730" s="10">
        <v>44750</v>
      </c>
      <c r="I5730" s="10">
        <v>44754</v>
      </c>
      <c r="J5730" s="9">
        <f>60+36+48+48</f>
        <v>192</v>
      </c>
      <c r="K5730" s="9"/>
      <c r="L5730" s="9">
        <f>60+60+60</f>
        <v>180</v>
      </c>
      <c r="M5730" s="11"/>
      <c r="N5730" s="11"/>
      <c r="O5730" s="9"/>
      <c r="P5730" s="9"/>
      <c r="Q5730" s="9"/>
    </row>
    <row r="5731" spans="1:17" hidden="1" x14ac:dyDescent="0.35">
      <c r="A5731" s="9" t="s">
        <v>57</v>
      </c>
      <c r="B5731" s="9" t="s">
        <v>2243</v>
      </c>
      <c r="C5731" s="9" t="s">
        <v>25</v>
      </c>
      <c r="D5731" s="9"/>
      <c r="E5731" s="10">
        <v>44749</v>
      </c>
      <c r="F5731" s="100">
        <f>SUM(J5731:L5731)</f>
        <v>384</v>
      </c>
      <c r="G5731" s="100">
        <f>SUM(Table3[[#This Row],[Kim Dệt Ngày]:[Kim Khác Đêm]])</f>
        <v>0</v>
      </c>
      <c r="H5731" s="10">
        <v>44750</v>
      </c>
      <c r="I5731" s="10">
        <v>44754</v>
      </c>
      <c r="J5731" s="9">
        <f>60+36+48+48</f>
        <v>192</v>
      </c>
      <c r="K5731" s="9"/>
      <c r="L5731" s="9">
        <f>60+60+72</f>
        <v>192</v>
      </c>
      <c r="M5731" s="11"/>
      <c r="N5731" s="11"/>
      <c r="O5731" s="9"/>
      <c r="P5731" s="9"/>
      <c r="Q5731" s="9"/>
    </row>
    <row r="5732" spans="1:17" hidden="1" x14ac:dyDescent="0.35">
      <c r="A5732" s="9" t="s">
        <v>60</v>
      </c>
      <c r="B5732" s="9" t="s">
        <v>2243</v>
      </c>
      <c r="C5732" s="9" t="s">
        <v>18</v>
      </c>
      <c r="D5732" s="9"/>
      <c r="E5732" s="10">
        <v>44749</v>
      </c>
      <c r="F5732" s="100">
        <f>SUM(J5732:L5732)</f>
        <v>384</v>
      </c>
      <c r="G5732" s="100">
        <f>SUM(Table3[[#This Row],[Kim Dệt Ngày]:[Kim Khác Đêm]])</f>
        <v>0</v>
      </c>
      <c r="H5732" s="10">
        <v>44750</v>
      </c>
      <c r="I5732" s="10">
        <v>44754</v>
      </c>
      <c r="J5732" s="9">
        <f>60+36+48+60</f>
        <v>204</v>
      </c>
      <c r="K5732" s="9"/>
      <c r="L5732" s="9">
        <f>60+60+60</f>
        <v>180</v>
      </c>
      <c r="M5732" s="11"/>
      <c r="N5732" s="11"/>
      <c r="O5732" s="9"/>
      <c r="P5732" s="9"/>
      <c r="Q5732" s="9"/>
    </row>
    <row r="5733" spans="1:17" hidden="1" x14ac:dyDescent="0.35">
      <c r="A5733" s="9" t="s">
        <v>97</v>
      </c>
      <c r="B5733" s="9" t="s">
        <v>2243</v>
      </c>
      <c r="C5733" s="9" t="s">
        <v>39</v>
      </c>
      <c r="D5733" s="9"/>
      <c r="E5733" s="10">
        <v>44749</v>
      </c>
      <c r="F5733" s="100">
        <f>SUM(J5733:L5733)</f>
        <v>372</v>
      </c>
      <c r="G5733" s="100">
        <f>SUM(Table3[[#This Row],[Kim Dệt Ngày]:[Kim Khác Đêm]])</f>
        <v>0</v>
      </c>
      <c r="H5733" s="10">
        <v>44750</v>
      </c>
      <c r="I5733" s="10">
        <v>44754</v>
      </c>
      <c r="J5733" s="9">
        <f>48+36+48</f>
        <v>132</v>
      </c>
      <c r="K5733" s="9"/>
      <c r="L5733" s="9">
        <f>60+60+36+48+36</f>
        <v>240</v>
      </c>
      <c r="M5733" s="11"/>
      <c r="N5733" s="11"/>
      <c r="O5733" s="9"/>
      <c r="P5733" s="9"/>
      <c r="Q5733" s="9"/>
    </row>
    <row r="5734" spans="1:17" hidden="1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>SUM(J5734:L5734)</f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hidden="1" x14ac:dyDescent="0.35">
      <c r="A5735" s="9" t="s">
        <v>45</v>
      </c>
      <c r="B5735" s="9" t="s">
        <v>2080</v>
      </c>
      <c r="C5735" s="9" t="s">
        <v>28</v>
      </c>
      <c r="D5735" s="9"/>
      <c r="E5735" s="10">
        <v>44749</v>
      </c>
      <c r="F5735" s="100">
        <f>SUM(J5735:L5735)</f>
        <v>360</v>
      </c>
      <c r="G5735" s="100">
        <f>SUM(Table3[[#This Row],[Kim Dệt Ngày]:[Kim Khác Đêm]])</f>
        <v>0</v>
      </c>
      <c r="H5735" s="10">
        <v>44750</v>
      </c>
      <c r="I5735" s="10">
        <v>44755</v>
      </c>
      <c r="J5735" s="9">
        <f>60+36+60+60</f>
        <v>216</v>
      </c>
      <c r="K5735" s="9"/>
      <c r="L5735" s="9">
        <f>72+72</f>
        <v>144</v>
      </c>
      <c r="M5735" s="11"/>
      <c r="N5735" s="11"/>
      <c r="O5735" s="9"/>
      <c r="P5735" s="9"/>
      <c r="Q5735" s="9"/>
    </row>
    <row r="5736" spans="1:17" hidden="1" x14ac:dyDescent="0.35">
      <c r="A5736" s="9" t="s">
        <v>71</v>
      </c>
      <c r="B5736" s="9" t="s">
        <v>238</v>
      </c>
      <c r="C5736" s="9" t="s">
        <v>28</v>
      </c>
      <c r="D5736" s="9"/>
      <c r="E5736" s="10">
        <v>44739</v>
      </c>
      <c r="F5736" s="100">
        <f>SUM(J5736:L5736)</f>
        <v>1776</v>
      </c>
      <c r="G5736" s="100">
        <f>SUM(Table3[[#This Row],[Kim Dệt Ngày]:[Kim Khác Đêm]])</f>
        <v>0</v>
      </c>
      <c r="H5736" s="10">
        <v>44743</v>
      </c>
      <c r="I5736" s="10">
        <v>44753</v>
      </c>
      <c r="J5736" s="9">
        <f>72+84+72+84+72+72+84+84+84</f>
        <v>708</v>
      </c>
      <c r="K5736" s="9"/>
      <c r="L5736" s="9">
        <f>108+96+96+108+96+108+96+96+96+84+84</f>
        <v>1068</v>
      </c>
      <c r="M5736" s="11"/>
      <c r="N5736" s="11"/>
      <c r="O5736" s="9"/>
      <c r="P5736" s="9"/>
      <c r="Q5736" s="9"/>
    </row>
    <row r="5737" spans="1:17" hidden="1" x14ac:dyDescent="0.35">
      <c r="A5737" s="9" t="s">
        <v>63</v>
      </c>
      <c r="B5737" s="9" t="s">
        <v>2151</v>
      </c>
      <c r="C5737" s="9" t="s">
        <v>2154</v>
      </c>
      <c r="D5737" s="9"/>
      <c r="E5737" s="10">
        <v>44735</v>
      </c>
      <c r="F5737" s="100">
        <f>SUM(J5737:L5737)</f>
        <v>132</v>
      </c>
      <c r="G5737" s="100">
        <f>SUM(Table3[[#This Row],[Kim Dệt Ngày]:[Kim Khác Đêm]])</f>
        <v>0</v>
      </c>
      <c r="H5737" s="10">
        <v>44755</v>
      </c>
      <c r="I5737" s="10">
        <v>44755</v>
      </c>
      <c r="J5737" s="9">
        <f>60</f>
        <v>60</v>
      </c>
      <c r="K5737" s="9"/>
      <c r="L5737" s="9">
        <f>72</f>
        <v>72</v>
      </c>
      <c r="M5737" s="11"/>
      <c r="N5737" s="11"/>
      <c r="O5737" s="9"/>
      <c r="P5737" s="9"/>
      <c r="Q5737" s="9"/>
    </row>
    <row r="5738" spans="1:17" hidden="1" x14ac:dyDescent="0.35">
      <c r="A5738" s="9" t="s">
        <v>29</v>
      </c>
      <c r="B5738" s="9" t="s">
        <v>27</v>
      </c>
      <c r="C5738" s="9" t="s">
        <v>18</v>
      </c>
      <c r="D5738" s="9"/>
      <c r="E5738" s="10">
        <v>44742</v>
      </c>
      <c r="F5738" s="100">
        <f>SUM(J5738:L5738)</f>
        <v>240</v>
      </c>
      <c r="G5738" s="100">
        <f>SUM(Table3[[#This Row],[Kim Dệt Ngày]:[Kim Khác Đêm]])</f>
        <v>0</v>
      </c>
      <c r="H5738" s="10">
        <v>44753</v>
      </c>
      <c r="I5738" s="10">
        <v>44754</v>
      </c>
      <c r="J5738" s="9">
        <f>48+84</f>
        <v>132</v>
      </c>
      <c r="K5738" s="9"/>
      <c r="L5738" s="9">
        <f>96+12</f>
        <v>108</v>
      </c>
      <c r="M5738" s="11"/>
      <c r="N5738" s="11"/>
      <c r="O5738" s="9"/>
      <c r="P5738" s="9"/>
      <c r="Q5738" s="9"/>
    </row>
    <row r="5739" spans="1:17" hidden="1" x14ac:dyDescent="0.35">
      <c r="A5739" s="9" t="s">
        <v>48</v>
      </c>
      <c r="B5739" s="9" t="s">
        <v>2080</v>
      </c>
      <c r="C5739" s="9" t="s">
        <v>39</v>
      </c>
      <c r="D5739" s="9"/>
      <c r="E5739" s="10">
        <v>44749</v>
      </c>
      <c r="F5739" s="100">
        <f>SUM(J5739:L5739)</f>
        <v>336</v>
      </c>
      <c r="G5739" s="100">
        <f>SUM(Table3[[#This Row],[Kim Dệt Ngày]:[Kim Khác Đêm]])</f>
        <v>0</v>
      </c>
      <c r="H5739" s="10">
        <v>44750</v>
      </c>
      <c r="I5739" s="10">
        <v>44755</v>
      </c>
      <c r="J5739" s="9">
        <f>24+24+36+36+24</f>
        <v>144</v>
      </c>
      <c r="K5739" s="9"/>
      <c r="L5739" s="9">
        <f>48+48+48+48</f>
        <v>192</v>
      </c>
      <c r="M5739" s="11"/>
      <c r="N5739" s="11"/>
      <c r="O5739" s="9"/>
      <c r="P5739" s="9"/>
      <c r="Q5739" s="9"/>
    </row>
    <row r="5740" spans="1:17" hidden="1" x14ac:dyDescent="0.35">
      <c r="A5740" s="9" t="s">
        <v>37</v>
      </c>
      <c r="B5740" s="9" t="s">
        <v>30</v>
      </c>
      <c r="C5740" s="9" t="s">
        <v>18</v>
      </c>
      <c r="D5740" s="9"/>
      <c r="E5740" s="10">
        <v>44749</v>
      </c>
      <c r="F5740" s="100">
        <f>SUM(J5740:L5740)</f>
        <v>444</v>
      </c>
      <c r="G5740" s="100">
        <f>SUM(Table3[[#This Row],[Kim Dệt Ngày]:[Kim Khác Đêm]])</f>
        <v>0</v>
      </c>
      <c r="H5740" s="10">
        <v>44750</v>
      </c>
      <c r="I5740" s="10">
        <v>44754</v>
      </c>
      <c r="J5740" s="9">
        <f>48+72+72+84</f>
        <v>276</v>
      </c>
      <c r="K5740" s="9"/>
      <c r="L5740" s="9">
        <f>84+84</f>
        <v>168</v>
      </c>
      <c r="M5740" s="11"/>
      <c r="N5740" s="11"/>
      <c r="O5740" s="9"/>
      <c r="P5740" s="9"/>
      <c r="Q5740" s="9"/>
    </row>
    <row r="5741" spans="1:17" hidden="1" x14ac:dyDescent="0.35">
      <c r="A5741" s="9" t="s">
        <v>58</v>
      </c>
      <c r="B5741" s="150" t="s">
        <v>30</v>
      </c>
      <c r="C5741" s="9" t="s">
        <v>25</v>
      </c>
      <c r="D5741" s="9"/>
      <c r="E5741" s="10">
        <v>44749</v>
      </c>
      <c r="F5741" s="100">
        <f>SUM(J5741:L5741)</f>
        <v>312</v>
      </c>
      <c r="G5741" s="100">
        <f>SUM(Table3[[#This Row],[Kim Dệt Ngày]:[Kim Khác Đêm]])</f>
        <v>0</v>
      </c>
      <c r="H5741" s="10">
        <v>44750</v>
      </c>
      <c r="I5741" s="10">
        <v>44754</v>
      </c>
      <c r="J5741" s="9">
        <f>48+36+60+48</f>
        <v>192</v>
      </c>
      <c r="K5741" s="9"/>
      <c r="L5741" s="9">
        <f>48+60+12</f>
        <v>120</v>
      </c>
      <c r="M5741" s="11"/>
      <c r="N5741" s="11"/>
      <c r="O5741" s="9"/>
      <c r="P5741" s="9"/>
      <c r="Q5741" s="9"/>
    </row>
    <row r="5742" spans="1:17" hidden="1" x14ac:dyDescent="0.35">
      <c r="A5742" s="9" t="s">
        <v>82</v>
      </c>
      <c r="B5742" s="9" t="s">
        <v>2080</v>
      </c>
      <c r="C5742" s="9" t="s">
        <v>39</v>
      </c>
      <c r="D5742" s="9"/>
      <c r="E5742" s="10">
        <v>44749</v>
      </c>
      <c r="F5742" s="100">
        <f>SUM(J5742:L5742)</f>
        <v>876</v>
      </c>
      <c r="G5742" s="100">
        <f>SUM(Table3[[#This Row],[Kim Dệt Ngày]:[Kim Khác Đêm]])</f>
        <v>0</v>
      </c>
      <c r="H5742" s="10">
        <v>44750</v>
      </c>
      <c r="I5742" s="10">
        <v>44755</v>
      </c>
      <c r="J5742" s="9">
        <f>84+84+96+84</f>
        <v>348</v>
      </c>
      <c r="K5742" s="9"/>
      <c r="L5742" s="9">
        <f>96+108+96+96+48+84</f>
        <v>528</v>
      </c>
      <c r="M5742" s="11"/>
      <c r="N5742" s="11"/>
      <c r="O5742" s="9"/>
      <c r="P5742" s="9"/>
      <c r="Q5742" s="9"/>
    </row>
    <row r="5743" spans="1:17" x14ac:dyDescent="0.35">
      <c r="A5743" s="9" t="s">
        <v>44</v>
      </c>
      <c r="B5743" s="9" t="s">
        <v>2080</v>
      </c>
      <c r="C5743" s="9" t="s">
        <v>39</v>
      </c>
      <c r="D5743" s="9"/>
      <c r="E5743" s="10">
        <v>44755</v>
      </c>
      <c r="F5743" s="100">
        <f>SUM(J5743:L5743)</f>
        <v>372</v>
      </c>
      <c r="G5743" s="100">
        <f>SUM(Table3[[#This Row],[Kim Dệt Ngày]:[Kim Khác Đêm]])</f>
        <v>0</v>
      </c>
      <c r="H5743" s="10">
        <v>44756</v>
      </c>
      <c r="I5743" s="10"/>
      <c r="J5743" s="9">
        <f>60+72+48</f>
        <v>180</v>
      </c>
      <c r="K5743" s="9"/>
      <c r="L5743" s="9">
        <f>48+72+72</f>
        <v>192</v>
      </c>
      <c r="M5743" s="11"/>
      <c r="N5743" s="11"/>
      <c r="O5743" s="9"/>
      <c r="P5743" s="9"/>
      <c r="Q5743" s="9"/>
    </row>
    <row r="5744" spans="1:17" hidden="1" x14ac:dyDescent="0.35">
      <c r="A5744" s="9" t="s">
        <v>70</v>
      </c>
      <c r="B5744" s="9" t="s">
        <v>429</v>
      </c>
      <c r="C5744" s="9" t="s">
        <v>18</v>
      </c>
      <c r="D5744" s="9"/>
      <c r="E5744" s="10">
        <v>44746</v>
      </c>
      <c r="F5744" s="100">
        <f>SUM(J5744:L5744)</f>
        <v>312</v>
      </c>
      <c r="G5744" s="100">
        <f>SUM(Table3[[#This Row],[Kim Dệt Ngày]:[Kim Khác Đêm]])</f>
        <v>0</v>
      </c>
      <c r="H5744" s="10">
        <v>44753</v>
      </c>
      <c r="I5744" s="10">
        <v>44755</v>
      </c>
      <c r="J5744" s="9">
        <f>36+72</f>
        <v>108</v>
      </c>
      <c r="K5744" s="9"/>
      <c r="L5744" s="9">
        <f>108+96</f>
        <v>204</v>
      </c>
      <c r="M5744" s="11"/>
      <c r="N5744" s="11"/>
      <c r="O5744" s="9"/>
      <c r="P5744" s="9"/>
      <c r="Q5744" s="9"/>
    </row>
    <row r="5745" spans="1:17" x14ac:dyDescent="0.35">
      <c r="A5745" s="9" t="s">
        <v>45</v>
      </c>
      <c r="B5745" s="9" t="s">
        <v>2080</v>
      </c>
      <c r="C5745" s="9" t="s">
        <v>28</v>
      </c>
      <c r="D5745" s="9"/>
      <c r="E5745" s="10">
        <v>44755</v>
      </c>
      <c r="F5745" s="100">
        <f>SUM(J5745:L5745)</f>
        <v>312</v>
      </c>
      <c r="G5745" s="100">
        <f>SUM(Table3[[#This Row],[Kim Dệt Ngày]:[Kim Khác Đêm]])</f>
        <v>0</v>
      </c>
      <c r="H5745" s="10">
        <v>44756</v>
      </c>
      <c r="I5745" s="10"/>
      <c r="J5745" s="9">
        <f>60+60</f>
        <v>120</v>
      </c>
      <c r="K5745" s="9"/>
      <c r="L5745" s="9">
        <f>60+72+60</f>
        <v>192</v>
      </c>
      <c r="M5745" s="11"/>
      <c r="N5745" s="11"/>
      <c r="O5745" s="9"/>
      <c r="P5745" s="9"/>
      <c r="Q5745" s="9"/>
    </row>
    <row r="5746" spans="1:17" hidden="1" x14ac:dyDescent="0.35">
      <c r="A5746" s="9" t="s">
        <v>72</v>
      </c>
      <c r="B5746" s="9" t="s">
        <v>239</v>
      </c>
      <c r="C5746" s="9" t="s">
        <v>39</v>
      </c>
      <c r="D5746" s="9"/>
      <c r="E5746" s="10">
        <v>44718</v>
      </c>
      <c r="F5746" s="100">
        <f>SUM(J5746:L5746)</f>
        <v>120</v>
      </c>
      <c r="G5746" s="100">
        <f>SUM(Table3[[#This Row],[Kim Dệt Ngày]:[Kim Khác Đêm]])</f>
        <v>0</v>
      </c>
      <c r="H5746" s="10">
        <v>44753</v>
      </c>
      <c r="I5746" s="10">
        <v>44755</v>
      </c>
      <c r="J5746" s="9">
        <f>24+12</f>
        <v>36</v>
      </c>
      <c r="K5746" s="9"/>
      <c r="L5746" s="9">
        <f>48+36</f>
        <v>84</v>
      </c>
      <c r="M5746" s="11"/>
      <c r="N5746" s="11"/>
      <c r="O5746" s="9"/>
      <c r="P5746" s="9"/>
      <c r="Q5746" s="9"/>
    </row>
    <row r="5747" spans="1:17" x14ac:dyDescent="0.35">
      <c r="A5747" s="9" t="s">
        <v>46</v>
      </c>
      <c r="B5747" s="9" t="s">
        <v>772</v>
      </c>
      <c r="C5747" s="9" t="s">
        <v>28</v>
      </c>
      <c r="D5747" s="9"/>
      <c r="E5747" s="10">
        <v>44753</v>
      </c>
      <c r="F5747" s="100">
        <f>SUM(J5747:L5747)</f>
        <v>792</v>
      </c>
      <c r="G5747" s="100">
        <f>SUM(Table3[[#This Row],[Kim Dệt Ngày]:[Kim Khác Đêm]])</f>
        <v>0</v>
      </c>
      <c r="H5747" s="10">
        <v>44754</v>
      </c>
      <c r="I5747" s="10"/>
      <c r="J5747" s="9">
        <f>72+84+72+84+60</f>
        <v>372</v>
      </c>
      <c r="K5747" s="9"/>
      <c r="L5747" s="9">
        <f>72+84+84+84+96</f>
        <v>420</v>
      </c>
      <c r="M5747" s="11"/>
      <c r="N5747" s="11"/>
      <c r="O5747" s="9"/>
      <c r="P5747" s="9"/>
      <c r="Q5747" s="9"/>
    </row>
    <row r="5748" spans="1:17" hidden="1" x14ac:dyDescent="0.35">
      <c r="A5748" s="9" t="s">
        <v>51</v>
      </c>
      <c r="B5748" s="9" t="s">
        <v>1510</v>
      </c>
      <c r="C5748" s="9" t="s">
        <v>28</v>
      </c>
      <c r="D5748" s="9"/>
      <c r="E5748" s="10">
        <v>44754</v>
      </c>
      <c r="F5748" s="100">
        <f>SUM(J5748:L5748)</f>
        <v>420</v>
      </c>
      <c r="G5748" s="100">
        <f>SUM(Table3[[#This Row],[Kim Dệt Ngày]:[Kim Khác Đêm]])</f>
        <v>0</v>
      </c>
      <c r="H5748" s="10">
        <v>44755</v>
      </c>
      <c r="I5748" s="10">
        <v>44758</v>
      </c>
      <c r="J5748" s="9">
        <f>72+72+72+24</f>
        <v>240</v>
      </c>
      <c r="K5748" s="9"/>
      <c r="L5748" s="9">
        <f>60+60+60</f>
        <v>180</v>
      </c>
      <c r="M5748" s="11"/>
      <c r="N5748" s="11"/>
      <c r="O5748" s="9"/>
      <c r="P5748" s="9"/>
      <c r="Q5748" s="9"/>
    </row>
    <row r="5749" spans="1:17" hidden="1" x14ac:dyDescent="0.35">
      <c r="A5749" s="9" t="s">
        <v>77</v>
      </c>
      <c r="B5749" s="9" t="s">
        <v>1600</v>
      </c>
      <c r="C5749" s="9" t="s">
        <v>39</v>
      </c>
      <c r="D5749" s="9"/>
      <c r="E5749" s="10">
        <v>44734</v>
      </c>
      <c r="F5749" s="100">
        <f>SUM(J5749:L5749)</f>
        <v>792</v>
      </c>
      <c r="G5749" s="100">
        <f>SUM(Table3[[#This Row],[Kim Dệt Ngày]:[Kim Khác Đêm]])</f>
        <v>0</v>
      </c>
      <c r="H5749" s="10">
        <v>44749</v>
      </c>
      <c r="I5749" s="10">
        <v>44755</v>
      </c>
      <c r="J5749" s="9">
        <f>84+72+72+12</f>
        <v>240</v>
      </c>
      <c r="K5749" s="9"/>
      <c r="L5749" s="9">
        <f>96+108+96+84+96+72</f>
        <v>552</v>
      </c>
      <c r="M5749" s="11"/>
      <c r="N5749" s="11"/>
      <c r="O5749" s="9"/>
      <c r="P5749" s="9"/>
      <c r="Q5749" s="9"/>
    </row>
    <row r="5750" spans="1:17" x14ac:dyDescent="0.35">
      <c r="A5750" s="9" t="s">
        <v>48</v>
      </c>
      <c r="B5750" s="9" t="s">
        <v>2080</v>
      </c>
      <c r="C5750" s="9" t="s">
        <v>39</v>
      </c>
      <c r="D5750" s="9"/>
      <c r="E5750" s="10">
        <v>44755</v>
      </c>
      <c r="F5750" s="100">
        <f>SUM(J5750:L5750)</f>
        <v>252</v>
      </c>
      <c r="G5750" s="100">
        <f>SUM(Table3[[#This Row],[Kim Dệt Ngày]:[Kim Khác Đêm]])</f>
        <v>0</v>
      </c>
      <c r="H5750" s="10">
        <v>44756</v>
      </c>
      <c r="I5750" s="10"/>
      <c r="J5750" s="9">
        <f>48+36+36</f>
        <v>120</v>
      </c>
      <c r="K5750" s="9"/>
      <c r="L5750" s="9">
        <f>48+36+48</f>
        <v>132</v>
      </c>
      <c r="M5750" s="11"/>
      <c r="N5750" s="11"/>
      <c r="O5750" s="9"/>
      <c r="P5750" s="9"/>
      <c r="Q5750" s="9"/>
    </row>
    <row r="5751" spans="1:17" x14ac:dyDescent="0.35">
      <c r="A5751" s="9" t="s">
        <v>49</v>
      </c>
      <c r="B5751" s="9" t="s">
        <v>1510</v>
      </c>
      <c r="C5751" s="9" t="s">
        <v>39</v>
      </c>
      <c r="D5751" s="9"/>
      <c r="E5751" s="10">
        <v>44754</v>
      </c>
      <c r="F5751" s="100">
        <f>SUM(J5751:L5751)</f>
        <v>312</v>
      </c>
      <c r="G5751" s="100">
        <f>SUM(Table3[[#This Row],[Kim Dệt Ngày]:[Kim Khác Đêm]])</f>
        <v>0</v>
      </c>
      <c r="H5751" s="10">
        <v>44755</v>
      </c>
      <c r="I5751" s="10"/>
      <c r="J5751" s="9">
        <f>36+48+36</f>
        <v>120</v>
      </c>
      <c r="K5751" s="9"/>
      <c r="L5751" s="9">
        <f>48+48+48+48</f>
        <v>192</v>
      </c>
      <c r="M5751" s="11"/>
      <c r="N5751" s="11"/>
      <c r="O5751" s="9"/>
      <c r="P5751" s="9"/>
      <c r="Q5751" s="9"/>
    </row>
    <row r="5752" spans="1:17" x14ac:dyDescent="0.35">
      <c r="A5752" s="9" t="s">
        <v>51</v>
      </c>
      <c r="B5752" s="9" t="s">
        <v>1510</v>
      </c>
      <c r="C5752" s="9" t="s">
        <v>18</v>
      </c>
      <c r="D5752" s="9"/>
      <c r="E5752" s="10">
        <v>44754</v>
      </c>
      <c r="F5752" s="100">
        <f>SUM(J5752:L5752)</f>
        <v>108</v>
      </c>
      <c r="G5752" s="100">
        <f>SUM(Table3[[#This Row],[Kim Dệt Ngày]:[Kim Khác Đêm]])</f>
        <v>0</v>
      </c>
      <c r="H5752" s="10">
        <v>44758</v>
      </c>
      <c r="I5752" s="10"/>
      <c r="J5752" s="9">
        <f>36</f>
        <v>36</v>
      </c>
      <c r="K5752" s="9"/>
      <c r="L5752" s="9">
        <f>72</f>
        <v>72</v>
      </c>
      <c r="M5752" s="11"/>
      <c r="N5752" s="11"/>
      <c r="O5752" s="9"/>
      <c r="P5752" s="9"/>
      <c r="Q5752" s="9"/>
    </row>
    <row r="5753" spans="1:17" hidden="1" x14ac:dyDescent="0.35">
      <c r="A5753" s="9" t="s">
        <v>33</v>
      </c>
      <c r="B5753" s="9" t="s">
        <v>2603</v>
      </c>
      <c r="C5753" s="9" t="s">
        <v>39</v>
      </c>
      <c r="D5753" s="9"/>
      <c r="E5753" s="10">
        <v>44750</v>
      </c>
      <c r="F5753" s="100">
        <f>SUM(J5753:L5753)</f>
        <v>492</v>
      </c>
      <c r="G5753" s="100">
        <f>SUM(Table3[[#This Row],[Kim Dệt Ngày]:[Kim Khác Đêm]])</f>
        <v>0</v>
      </c>
      <c r="H5753" s="10">
        <v>44751</v>
      </c>
      <c r="I5753" s="10">
        <v>44754</v>
      </c>
      <c r="J5753" s="9">
        <f>72+84+84</f>
        <v>240</v>
      </c>
      <c r="K5753" s="9"/>
      <c r="L5753" s="9">
        <f>84+84+84</f>
        <v>252</v>
      </c>
      <c r="M5753" s="11"/>
      <c r="N5753" s="11"/>
      <c r="O5753" s="9"/>
      <c r="P5753" s="9"/>
      <c r="Q5753" s="9"/>
    </row>
    <row r="5754" spans="1:17" hidden="1" x14ac:dyDescent="0.35">
      <c r="A5754" s="9" t="s">
        <v>35</v>
      </c>
      <c r="B5754" s="9" t="s">
        <v>2603</v>
      </c>
      <c r="C5754" s="9" t="s">
        <v>18</v>
      </c>
      <c r="D5754" s="9"/>
      <c r="E5754" s="10">
        <v>44750</v>
      </c>
      <c r="F5754" s="100">
        <f>SUM(J5754:L5754)</f>
        <v>264</v>
      </c>
      <c r="G5754" s="100">
        <f>SUM(Table3[[#This Row],[Kim Dệt Ngày]:[Kim Khác Đêm]])</f>
        <v>0</v>
      </c>
      <c r="H5754" s="10">
        <v>44753</v>
      </c>
      <c r="I5754" s="10">
        <v>44754</v>
      </c>
      <c r="J5754" s="9">
        <f>84</f>
        <v>84</v>
      </c>
      <c r="K5754" s="9"/>
      <c r="L5754" s="9">
        <f>84+96</f>
        <v>180</v>
      </c>
      <c r="M5754" s="11"/>
      <c r="N5754" s="11"/>
      <c r="O5754" s="9"/>
      <c r="P5754" s="9"/>
      <c r="Q5754" s="9"/>
    </row>
    <row r="5755" spans="1:17" hidden="1" x14ac:dyDescent="0.35">
      <c r="A5755" s="9" t="s">
        <v>94</v>
      </c>
      <c r="B5755" s="9" t="s">
        <v>2603</v>
      </c>
      <c r="C5755" s="9" t="s">
        <v>25</v>
      </c>
      <c r="D5755" s="9"/>
      <c r="E5755" s="10">
        <v>44750</v>
      </c>
      <c r="F5755" s="100">
        <f>SUM(J5755:L5755)</f>
        <v>240</v>
      </c>
      <c r="G5755" s="100">
        <f>SUM(Table3[[#This Row],[Kim Dệt Ngày]:[Kim Khác Đêm]])</f>
        <v>0</v>
      </c>
      <c r="H5755" s="10">
        <v>44751</v>
      </c>
      <c r="I5755" s="10">
        <v>44754</v>
      </c>
      <c r="J5755" s="9">
        <f>36+48</f>
        <v>84</v>
      </c>
      <c r="K5755" s="9"/>
      <c r="L5755" s="9">
        <f>48+36+36+36</f>
        <v>156</v>
      </c>
      <c r="M5755" s="11"/>
      <c r="N5755" s="11"/>
      <c r="O5755" s="9"/>
      <c r="P5755" s="9"/>
      <c r="Q5755" s="9"/>
    </row>
    <row r="5756" spans="1:17" hidden="1" x14ac:dyDescent="0.35">
      <c r="A5756" s="9" t="s">
        <v>95</v>
      </c>
      <c r="B5756" s="9" t="s">
        <v>2603</v>
      </c>
      <c r="C5756" s="9" t="s">
        <v>18</v>
      </c>
      <c r="D5756" s="9"/>
      <c r="E5756" s="10">
        <v>44750</v>
      </c>
      <c r="F5756" s="100">
        <f>SUM(J5756:L5756)</f>
        <v>360</v>
      </c>
      <c r="G5756" s="100">
        <f>SUM(Table3[[#This Row],[Kim Dệt Ngày]:[Kim Khác Đêm]])</f>
        <v>0</v>
      </c>
      <c r="H5756" s="10">
        <v>44751</v>
      </c>
      <c r="I5756" s="10">
        <v>44754</v>
      </c>
      <c r="J5756" s="9">
        <f>60+48</f>
        <v>108</v>
      </c>
      <c r="K5756" s="9"/>
      <c r="L5756" s="9">
        <f>72+60+72+48</f>
        <v>252</v>
      </c>
      <c r="M5756" s="11"/>
      <c r="N5756" s="11"/>
      <c r="O5756" s="9"/>
      <c r="P5756" s="9"/>
      <c r="Q5756" s="9"/>
    </row>
    <row r="5757" spans="1:17" hidden="1" x14ac:dyDescent="0.35">
      <c r="A5757" s="9" t="s">
        <v>98</v>
      </c>
      <c r="B5757" s="9" t="s">
        <v>2603</v>
      </c>
      <c r="C5757" s="9" t="s">
        <v>28</v>
      </c>
      <c r="D5757" s="9"/>
      <c r="E5757" s="10">
        <v>44750</v>
      </c>
      <c r="F5757" s="100">
        <f>SUM(J5757:L5757)</f>
        <v>276</v>
      </c>
      <c r="G5757" s="100">
        <f>SUM(Table3[[#This Row],[Kim Dệt Ngày]:[Kim Khác Đêm]])</f>
        <v>0</v>
      </c>
      <c r="H5757" s="10">
        <v>44751</v>
      </c>
      <c r="I5757" s="10">
        <v>44754</v>
      </c>
      <c r="J5757" s="9">
        <f>36+48</f>
        <v>84</v>
      </c>
      <c r="K5757" s="9"/>
      <c r="L5757" s="9">
        <f>60+48+48+36</f>
        <v>192</v>
      </c>
      <c r="M5757" s="11"/>
      <c r="N5757" s="11"/>
      <c r="O5757" s="9"/>
      <c r="P5757" s="9"/>
      <c r="Q5757" s="9"/>
    </row>
    <row r="5758" spans="1:17" x14ac:dyDescent="0.35">
      <c r="A5758" s="9" t="s">
        <v>53</v>
      </c>
      <c r="B5758" s="9" t="s">
        <v>1442</v>
      </c>
      <c r="C5758" s="9" t="s">
        <v>18</v>
      </c>
      <c r="D5758" s="9"/>
      <c r="E5758" s="10">
        <v>44754</v>
      </c>
      <c r="F5758" s="100">
        <f>SUM(J5758:L5758)</f>
        <v>540</v>
      </c>
      <c r="G5758" s="100">
        <f>SUM(Table3[[#This Row],[Kim Dệt Ngày]:[Kim Khác Đêm]])</f>
        <v>0</v>
      </c>
      <c r="H5758" s="10">
        <v>44755</v>
      </c>
      <c r="I5758" s="10"/>
      <c r="J5758" s="9">
        <f>48+72+60+60</f>
        <v>240</v>
      </c>
      <c r="K5758" s="9"/>
      <c r="L5758" s="9">
        <f>72+84+72+72</f>
        <v>300</v>
      </c>
      <c r="M5758" s="11"/>
      <c r="N5758" s="11"/>
      <c r="O5758" s="9"/>
      <c r="P5758" s="9"/>
      <c r="Q5758" s="9"/>
    </row>
    <row r="5759" spans="1:17" hidden="1" x14ac:dyDescent="0.35">
      <c r="A5759" s="9" t="s">
        <v>61</v>
      </c>
      <c r="B5759" s="9" t="s">
        <v>2766</v>
      </c>
      <c r="C5759" s="9" t="s">
        <v>930</v>
      </c>
      <c r="D5759" s="9"/>
      <c r="E5759" s="10">
        <v>44736</v>
      </c>
      <c r="F5759" s="100">
        <f>SUM(J5759:L5759)</f>
        <v>300</v>
      </c>
      <c r="G5759" s="100">
        <f>SUM(Table3[[#This Row],[Kim Dệt Ngày]:[Kim Khác Đêm]])</f>
        <v>0</v>
      </c>
      <c r="H5759" s="10">
        <v>44750</v>
      </c>
      <c r="I5759" s="10">
        <v>44757</v>
      </c>
      <c r="J5759" s="9">
        <f>12+24+12+12+24+36</f>
        <v>120</v>
      </c>
      <c r="K5759" s="9"/>
      <c r="L5759" s="9">
        <f>48+36+48+24+24</f>
        <v>180</v>
      </c>
      <c r="M5759" s="11"/>
      <c r="N5759" s="11"/>
      <c r="O5759" s="9"/>
      <c r="P5759" s="9"/>
      <c r="Q5759" s="9"/>
    </row>
    <row r="5760" spans="1:17" hidden="1" x14ac:dyDescent="0.35">
      <c r="A5760" s="9" t="s">
        <v>63</v>
      </c>
      <c r="B5760" s="9" t="s">
        <v>2151</v>
      </c>
      <c r="C5760" s="9" t="s">
        <v>2153</v>
      </c>
      <c r="D5760" s="9"/>
      <c r="E5760" s="10">
        <v>44735</v>
      </c>
      <c r="F5760" s="100">
        <f>SUM(J5760:L5760)</f>
        <v>108</v>
      </c>
      <c r="G5760" s="100">
        <f>SUM(Table3[[#This Row],[Kim Dệt Ngày]:[Kim Khác Đêm]])</f>
        <v>0</v>
      </c>
      <c r="H5760" s="10">
        <v>44753</v>
      </c>
      <c r="I5760" s="10">
        <v>44754</v>
      </c>
      <c r="J5760" s="9"/>
      <c r="K5760" s="9"/>
      <c r="L5760" s="9">
        <f>60+48</f>
        <v>108</v>
      </c>
      <c r="M5760" s="11"/>
      <c r="N5760" s="11"/>
      <c r="O5760" s="9"/>
      <c r="P5760" s="9"/>
      <c r="Q5760" s="9"/>
    </row>
    <row r="5761" spans="1:17" hidden="1" x14ac:dyDescent="0.35">
      <c r="A5761" s="9" t="s">
        <v>88</v>
      </c>
      <c r="B5761" s="9" t="s">
        <v>2590</v>
      </c>
      <c r="C5761" s="9" t="s">
        <v>28</v>
      </c>
      <c r="D5761" s="9"/>
      <c r="E5761" s="10">
        <v>44718</v>
      </c>
      <c r="F5761" s="100">
        <f>SUM(J5761:L5761)</f>
        <v>410</v>
      </c>
      <c r="G5761" s="100">
        <f>SUM(Table3[[#This Row],[Kim Dệt Ngày]:[Kim Khác Đêm]])</f>
        <v>0</v>
      </c>
      <c r="H5761" s="10">
        <v>44749</v>
      </c>
      <c r="I5761" s="10">
        <v>44754</v>
      </c>
      <c r="J5761" s="9">
        <f>60+60+30</f>
        <v>150</v>
      </c>
      <c r="K5761" s="9"/>
      <c r="L5761" s="9">
        <f>60+70+70+60</f>
        <v>260</v>
      </c>
      <c r="M5761" s="11"/>
      <c r="N5761" s="11"/>
      <c r="O5761" s="9"/>
      <c r="P5761" s="9"/>
      <c r="Q5761" s="9"/>
    </row>
    <row r="5762" spans="1:17" hidden="1" x14ac:dyDescent="0.35">
      <c r="A5762" s="9" t="s">
        <v>90</v>
      </c>
      <c r="B5762" s="9" t="s">
        <v>1070</v>
      </c>
      <c r="C5762" s="9" t="s">
        <v>18</v>
      </c>
      <c r="D5762" s="9"/>
      <c r="E5762" s="10">
        <v>44749</v>
      </c>
      <c r="F5762" s="100">
        <f>SUM(J5762:L5762)</f>
        <v>120</v>
      </c>
      <c r="G5762" s="100">
        <f>SUM(Table3[[#This Row],[Kim Dệt Ngày]:[Kim Khác Đêm]])</f>
        <v>0</v>
      </c>
      <c r="H5762" s="10">
        <v>44750</v>
      </c>
      <c r="I5762" s="10">
        <v>44754</v>
      </c>
      <c r="J5762" s="9">
        <f>36+48+36</f>
        <v>120</v>
      </c>
      <c r="K5762" s="9"/>
      <c r="L5762" s="9"/>
      <c r="M5762" s="11"/>
      <c r="N5762" s="11"/>
      <c r="O5762" s="9"/>
      <c r="P5762" s="9"/>
      <c r="Q5762" s="9"/>
    </row>
    <row r="5763" spans="1:17" hidden="1" x14ac:dyDescent="0.35">
      <c r="A5763" s="9" t="s">
        <v>63</v>
      </c>
      <c r="B5763" s="9" t="s">
        <v>2151</v>
      </c>
      <c r="C5763" s="9" t="s">
        <v>253</v>
      </c>
      <c r="D5763" s="9"/>
      <c r="E5763" s="10">
        <v>44735</v>
      </c>
      <c r="F5763" s="100">
        <f>SUM(J5763:L5763)</f>
        <v>108</v>
      </c>
      <c r="G5763" s="100">
        <f>SUM(Table3[[#This Row],[Kim Dệt Ngày]:[Kim Khác Đêm]])</f>
        <v>0</v>
      </c>
      <c r="H5763" s="10">
        <v>44756</v>
      </c>
      <c r="I5763" s="10">
        <v>44756</v>
      </c>
      <c r="J5763" s="9">
        <f>48</f>
        <v>48</v>
      </c>
      <c r="K5763" s="9"/>
      <c r="L5763" s="9">
        <f>60</f>
        <v>60</v>
      </c>
      <c r="M5763" s="11"/>
      <c r="N5763" s="11"/>
      <c r="O5763" s="9"/>
      <c r="P5763" s="9"/>
      <c r="Q5763" s="9"/>
    </row>
    <row r="5764" spans="1:17" hidden="1" x14ac:dyDescent="0.35">
      <c r="A5764" s="9" t="s">
        <v>65</v>
      </c>
      <c r="B5764" s="9" t="s">
        <v>1146</v>
      </c>
      <c r="C5764" s="9" t="s">
        <v>28</v>
      </c>
      <c r="D5764" s="9"/>
      <c r="E5764" s="10">
        <v>44750</v>
      </c>
      <c r="F5764" s="100">
        <f>SUM(J5764:L5764)</f>
        <v>12</v>
      </c>
      <c r="G5764" s="100">
        <f>SUM(Table3[[#This Row],[Kim Dệt Ngày]:[Kim Khác Đêm]])</f>
        <v>0</v>
      </c>
      <c r="H5764" s="10">
        <v>44753</v>
      </c>
      <c r="I5764" s="10">
        <v>44756</v>
      </c>
      <c r="J5764" s="9">
        <f>12</f>
        <v>12</v>
      </c>
      <c r="K5764" s="9"/>
      <c r="L5764" s="9"/>
      <c r="M5764" s="11"/>
      <c r="N5764" s="11"/>
      <c r="O5764" s="9"/>
      <c r="P5764" s="9"/>
      <c r="Q5764" s="9"/>
    </row>
    <row r="5765" spans="1:17" x14ac:dyDescent="0.35">
      <c r="A5765" s="9" t="s">
        <v>55</v>
      </c>
      <c r="B5765" s="9" t="s">
        <v>1442</v>
      </c>
      <c r="C5765" s="9" t="s">
        <v>25</v>
      </c>
      <c r="D5765" s="9"/>
      <c r="E5765" s="10">
        <v>44754</v>
      </c>
      <c r="F5765" s="100">
        <f>SUM(J5765:L5765)</f>
        <v>324</v>
      </c>
      <c r="G5765" s="100">
        <f>SUM(Table3[[#This Row],[Kim Dệt Ngày]:[Kim Khác Đêm]])</f>
        <v>0</v>
      </c>
      <c r="H5765" s="10">
        <v>44755</v>
      </c>
      <c r="I5765" s="10"/>
      <c r="J5765" s="9">
        <f>36+36+36+36</f>
        <v>144</v>
      </c>
      <c r="K5765" s="9"/>
      <c r="L5765" s="9">
        <f>48+48+48+36</f>
        <v>180</v>
      </c>
      <c r="M5765" s="11"/>
      <c r="N5765" s="11"/>
      <c r="O5765" s="9"/>
      <c r="P5765" s="9"/>
      <c r="Q5765" s="9"/>
    </row>
    <row r="5766" spans="1:17" hidden="1" x14ac:dyDescent="0.35">
      <c r="A5766" s="9" t="s">
        <v>70</v>
      </c>
      <c r="B5766" s="9" t="s">
        <v>429</v>
      </c>
      <c r="C5766" s="9" t="s">
        <v>968</v>
      </c>
      <c r="D5766" s="9"/>
      <c r="E5766" s="10">
        <v>44746</v>
      </c>
      <c r="F5766" s="100">
        <f>SUM(J5766:L5766)</f>
        <v>324</v>
      </c>
      <c r="G5766" s="100">
        <f>SUM(Table3[[#This Row],[Kim Dệt Ngày]:[Kim Khác Đêm]])</f>
        <v>0</v>
      </c>
      <c r="H5766" s="10">
        <v>44755</v>
      </c>
      <c r="I5766" s="10">
        <v>44756</v>
      </c>
      <c r="J5766" s="9">
        <f>84</f>
        <v>84</v>
      </c>
      <c r="K5766" s="9"/>
      <c r="L5766" s="9">
        <f>108+132</f>
        <v>240</v>
      </c>
      <c r="M5766" s="11"/>
      <c r="N5766" s="11"/>
      <c r="O5766" s="9"/>
      <c r="P5766" s="9"/>
      <c r="Q5766" s="9"/>
    </row>
    <row r="5767" spans="1:17" hidden="1" x14ac:dyDescent="0.35">
      <c r="A5767" s="9" t="s">
        <v>96</v>
      </c>
      <c r="B5767" s="9" t="s">
        <v>1060</v>
      </c>
      <c r="C5767" s="9" t="s">
        <v>39</v>
      </c>
      <c r="D5767" s="9"/>
      <c r="E5767" s="10">
        <v>44733</v>
      </c>
      <c r="F5767" s="100">
        <f>SUM(J5767:L5767)</f>
        <v>96</v>
      </c>
      <c r="G5767" s="100">
        <f>SUM(Table3[[#This Row],[Kim Dệt Ngày]:[Kim Khác Đêm]])</f>
        <v>0</v>
      </c>
      <c r="H5767" s="10">
        <v>44754</v>
      </c>
      <c r="I5767" s="10">
        <v>44755</v>
      </c>
      <c r="J5767" s="9">
        <f>48</f>
        <v>48</v>
      </c>
      <c r="K5767" s="9"/>
      <c r="L5767" s="9">
        <f>48</f>
        <v>48</v>
      </c>
      <c r="M5767" s="11"/>
      <c r="N5767" s="11"/>
      <c r="O5767" s="9"/>
      <c r="P5767" s="9"/>
      <c r="Q5767" s="9"/>
    </row>
    <row r="5768" spans="1:17" hidden="1" x14ac:dyDescent="0.35">
      <c r="A5768" s="9" t="s">
        <v>71</v>
      </c>
      <c r="B5768" s="9" t="s">
        <v>238</v>
      </c>
      <c r="C5768" s="9" t="s">
        <v>28</v>
      </c>
      <c r="D5768" s="9"/>
      <c r="E5768" s="10">
        <v>44753</v>
      </c>
      <c r="F5768" s="100">
        <f>SUM(J5768:L5768)</f>
        <v>336</v>
      </c>
      <c r="G5768" s="100">
        <f>SUM(Table3[[#This Row],[Kim Dệt Ngày]:[Kim Khác Đêm]])</f>
        <v>0</v>
      </c>
      <c r="H5768" s="10">
        <v>44754</v>
      </c>
      <c r="I5768" s="10">
        <v>44756</v>
      </c>
      <c r="J5768" s="9">
        <f>72+84</f>
        <v>156</v>
      </c>
      <c r="K5768" s="9"/>
      <c r="L5768" s="9">
        <f>72+96+12</f>
        <v>180</v>
      </c>
      <c r="M5768" s="11"/>
      <c r="N5768" s="11"/>
      <c r="O5768" s="9"/>
      <c r="P5768" s="9"/>
      <c r="Q5768" s="9"/>
    </row>
    <row r="5769" spans="1:17" hidden="1" x14ac:dyDescent="0.35">
      <c r="A5769" s="9" t="s">
        <v>68</v>
      </c>
      <c r="B5769" s="9" t="s">
        <v>424</v>
      </c>
      <c r="C5769" s="9" t="s">
        <v>79</v>
      </c>
      <c r="D5769" s="9"/>
      <c r="E5769" s="10">
        <v>44746</v>
      </c>
      <c r="F5769" s="100">
        <f>SUM(J5769:L5769)</f>
        <v>648</v>
      </c>
      <c r="G5769" s="100">
        <f>SUM(Table3[[#This Row],[Kim Dệt Ngày]:[Kim Khác Đêm]])</f>
        <v>0</v>
      </c>
      <c r="H5769" s="10">
        <v>44751</v>
      </c>
      <c r="I5769" s="10">
        <v>44756</v>
      </c>
      <c r="J5769" s="9">
        <f>0+24+72+96</f>
        <v>192</v>
      </c>
      <c r="K5769" s="9"/>
      <c r="L5769" s="9">
        <f>120+96+96+84+60</f>
        <v>456</v>
      </c>
      <c r="M5769" s="11"/>
      <c r="N5769" s="11"/>
      <c r="O5769" s="9"/>
      <c r="P5769" s="9"/>
      <c r="Q5769" s="9"/>
    </row>
    <row r="5770" spans="1:17" hidden="1" x14ac:dyDescent="0.35">
      <c r="A5770" s="9" t="s">
        <v>74</v>
      </c>
      <c r="B5770" s="9" t="s">
        <v>1413</v>
      </c>
      <c r="C5770" s="9" t="s">
        <v>28</v>
      </c>
      <c r="D5770" s="9"/>
      <c r="E5770" s="10">
        <v>44753</v>
      </c>
      <c r="F5770" s="100">
        <f>SUM(J5770:L5770)</f>
        <v>144</v>
      </c>
      <c r="G5770" s="100">
        <f>SUM(Table3[[#This Row],[Kim Dệt Ngày]:[Kim Khác Đêm]])</f>
        <v>0</v>
      </c>
      <c r="H5770" s="10">
        <v>44754</v>
      </c>
      <c r="I5770" s="10">
        <v>44755</v>
      </c>
      <c r="J5770" s="9">
        <f>60</f>
        <v>60</v>
      </c>
      <c r="K5770" s="9"/>
      <c r="L5770" s="9">
        <f>36+48</f>
        <v>84</v>
      </c>
      <c r="M5770" s="11"/>
      <c r="N5770" s="11"/>
      <c r="O5770" s="9"/>
      <c r="P5770" s="9"/>
      <c r="Q5770" s="9"/>
    </row>
    <row r="5771" spans="1:17" hidden="1" x14ac:dyDescent="0.35">
      <c r="A5771" s="9" t="s">
        <v>76</v>
      </c>
      <c r="B5771" s="9" t="s">
        <v>1113</v>
      </c>
      <c r="C5771" s="9" t="s">
        <v>28</v>
      </c>
      <c r="D5771" s="9"/>
      <c r="E5771" s="10">
        <v>44750</v>
      </c>
      <c r="F5771" s="100">
        <f>SUM(J5771:L5771)</f>
        <v>576</v>
      </c>
      <c r="G5771" s="100">
        <f>SUM(Table3[[#This Row],[Kim Dệt Ngày]:[Kim Khác Đêm]])</f>
        <v>0</v>
      </c>
      <c r="H5771" s="10">
        <v>44751</v>
      </c>
      <c r="I5771" s="10">
        <v>44756</v>
      </c>
      <c r="J5771" s="9">
        <f>60+60+60+60</f>
        <v>240</v>
      </c>
      <c r="K5771" s="9"/>
      <c r="L5771" s="9">
        <f>72+60+60+60+72+12</f>
        <v>336</v>
      </c>
      <c r="M5771" s="11"/>
      <c r="N5771" s="11"/>
      <c r="O5771" s="9"/>
      <c r="P5771" s="9"/>
      <c r="Q5771" s="9"/>
    </row>
    <row r="5772" spans="1:17" hidden="1" x14ac:dyDescent="0.35">
      <c r="A5772" s="9" t="s">
        <v>70</v>
      </c>
      <c r="B5772" s="9" t="s">
        <v>433</v>
      </c>
      <c r="C5772" s="9" t="s">
        <v>79</v>
      </c>
      <c r="D5772" s="9"/>
      <c r="E5772" s="10">
        <v>44746</v>
      </c>
      <c r="F5772" s="100">
        <f>SUM(J5772:L5772)</f>
        <v>60</v>
      </c>
      <c r="G5772" s="100">
        <f>SUM(Table3[[#This Row],[Kim Dệt Ngày]:[Kim Khác Đêm]])</f>
        <v>0</v>
      </c>
      <c r="H5772" s="10">
        <v>44756</v>
      </c>
      <c r="I5772" s="10">
        <v>44756</v>
      </c>
      <c r="J5772" s="9"/>
      <c r="K5772" s="9"/>
      <c r="L5772" s="9">
        <f>60</f>
        <v>60</v>
      </c>
      <c r="M5772" s="11"/>
      <c r="N5772" s="11"/>
      <c r="O5772" s="9"/>
      <c r="P5772" s="9"/>
      <c r="Q5772" s="9"/>
    </row>
    <row r="5773" spans="1:17" x14ac:dyDescent="0.35">
      <c r="A5773" s="9" t="s">
        <v>56</v>
      </c>
      <c r="B5773" s="9" t="s">
        <v>2243</v>
      </c>
      <c r="C5773" s="9" t="s">
        <v>28</v>
      </c>
      <c r="D5773" s="9"/>
      <c r="E5773" s="10">
        <v>44754</v>
      </c>
      <c r="F5773" s="100">
        <f>SUM(J5773:L5773)</f>
        <v>456</v>
      </c>
      <c r="G5773" s="100">
        <f>SUM(Table3[[#This Row],[Kim Dệt Ngày]:[Kim Khác Đêm]])</f>
        <v>0</v>
      </c>
      <c r="H5773" s="10">
        <v>44755</v>
      </c>
      <c r="I5773" s="10"/>
      <c r="J5773" s="9">
        <f>48+60+60+48</f>
        <v>216</v>
      </c>
      <c r="K5773" s="9"/>
      <c r="L5773" s="9">
        <f>60+60+60+60</f>
        <v>240</v>
      </c>
      <c r="M5773" s="11"/>
      <c r="N5773" s="11"/>
      <c r="O5773" s="9"/>
      <c r="P5773" s="9"/>
      <c r="Q5773" s="9"/>
    </row>
    <row r="5774" spans="1:17" x14ac:dyDescent="0.35">
      <c r="A5774" s="9" t="s">
        <v>57</v>
      </c>
      <c r="B5774" s="9" t="s">
        <v>2243</v>
      </c>
      <c r="C5774" s="9" t="s">
        <v>25</v>
      </c>
      <c r="D5774" s="9"/>
      <c r="E5774" s="10">
        <v>44754</v>
      </c>
      <c r="F5774" s="100">
        <f>SUM(J5774:L5774)</f>
        <v>492</v>
      </c>
      <c r="G5774" s="100">
        <f>SUM(Table3[[#This Row],[Kim Dệt Ngày]:[Kim Khác Đêm]])</f>
        <v>0</v>
      </c>
      <c r="H5774" s="10">
        <v>44755</v>
      </c>
      <c r="I5774" s="10"/>
      <c r="J5774" s="9">
        <f>60+60+60+48</f>
        <v>228</v>
      </c>
      <c r="K5774" s="9"/>
      <c r="L5774" s="9">
        <f>60+60+72+72</f>
        <v>264</v>
      </c>
      <c r="M5774" s="11"/>
      <c r="N5774" s="11"/>
      <c r="O5774" s="9"/>
      <c r="P5774" s="9"/>
      <c r="Q5774" s="9"/>
    </row>
    <row r="5775" spans="1:17" hidden="1" x14ac:dyDescent="0.35">
      <c r="A5775" s="9" t="s">
        <v>74</v>
      </c>
      <c r="B5775" s="9" t="s">
        <v>1413</v>
      </c>
      <c r="C5775" s="9" t="s">
        <v>39</v>
      </c>
      <c r="D5775" s="9"/>
      <c r="E5775" s="10">
        <v>44753</v>
      </c>
      <c r="F5775" s="100">
        <f>SUM(J5775:L5775)</f>
        <v>120</v>
      </c>
      <c r="G5775" s="100">
        <f>SUM(Table3[[#This Row],[Kim Dệt Ngày]:[Kim Khác Đêm]])</f>
        <v>0</v>
      </c>
      <c r="H5775" s="10">
        <v>44756</v>
      </c>
      <c r="I5775" s="10">
        <v>44757</v>
      </c>
      <c r="J5775" s="9">
        <f>48+12</f>
        <v>60</v>
      </c>
      <c r="K5775" s="9"/>
      <c r="L5775" s="9">
        <f>60</f>
        <v>60</v>
      </c>
      <c r="M5775" s="11"/>
      <c r="N5775" s="11"/>
      <c r="O5775" s="9"/>
      <c r="P5775" s="9"/>
      <c r="Q5775" s="9"/>
    </row>
    <row r="5776" spans="1:17" x14ac:dyDescent="0.35">
      <c r="A5776" s="9" t="s">
        <v>58</v>
      </c>
      <c r="B5776" s="9" t="s">
        <v>30</v>
      </c>
      <c r="C5776" s="9" t="s">
        <v>28</v>
      </c>
      <c r="D5776" s="9"/>
      <c r="E5776" s="10">
        <v>44756</v>
      </c>
      <c r="F5776" s="100">
        <f>SUM(J5776:L5776)</f>
        <v>240</v>
      </c>
      <c r="G5776" s="100">
        <f>SUM(Table3[[#This Row],[Kim Dệt Ngày]:[Kim Khác Đêm]])</f>
        <v>0</v>
      </c>
      <c r="H5776" s="10">
        <v>44757</v>
      </c>
      <c r="I5776" s="10"/>
      <c r="J5776" s="9">
        <f>60+48</f>
        <v>108</v>
      </c>
      <c r="K5776" s="9"/>
      <c r="L5776" s="9">
        <f>72+60</f>
        <v>132</v>
      </c>
      <c r="M5776" s="11"/>
      <c r="N5776" s="11"/>
      <c r="O5776" s="9"/>
      <c r="P5776" s="9"/>
      <c r="Q5776" s="9"/>
    </row>
    <row r="5777" spans="1:17" hidden="1" x14ac:dyDescent="0.35">
      <c r="A5777" s="9" t="s">
        <v>37</v>
      </c>
      <c r="B5777" s="150" t="s">
        <v>30</v>
      </c>
      <c r="C5777" s="9" t="s">
        <v>39</v>
      </c>
      <c r="D5777" s="9"/>
      <c r="E5777" s="10">
        <v>44749</v>
      </c>
      <c r="F5777" s="100">
        <f>SUM(J5777:L5777)</f>
        <v>396</v>
      </c>
      <c r="G5777" s="100">
        <f>SUM(Table3[[#This Row],[Kim Dệt Ngày]:[Kim Khác Đêm]])</f>
        <v>0</v>
      </c>
      <c r="H5777" s="10">
        <v>44754</v>
      </c>
      <c r="I5777" s="10">
        <v>44756</v>
      </c>
      <c r="J5777" s="9">
        <f>72+72</f>
        <v>144</v>
      </c>
      <c r="K5777" s="9"/>
      <c r="L5777" s="9">
        <f>72+96+84</f>
        <v>252</v>
      </c>
      <c r="M5777" s="11"/>
      <c r="N5777" s="11"/>
      <c r="O5777" s="9"/>
      <c r="P5777" s="9"/>
      <c r="Q5777" s="9"/>
    </row>
    <row r="5778" spans="1:17" hidden="1" x14ac:dyDescent="0.35">
      <c r="A5778" s="9" t="s">
        <v>58</v>
      </c>
      <c r="B5778" s="9" t="s">
        <v>30</v>
      </c>
      <c r="C5778" s="9" t="s">
        <v>28</v>
      </c>
      <c r="D5778" s="9"/>
      <c r="E5778" s="10">
        <v>44749</v>
      </c>
      <c r="F5778" s="100">
        <f>SUM(J5778:L5778)</f>
        <v>288</v>
      </c>
      <c r="G5778" s="100">
        <f>SUM(Table3[[#This Row],[Kim Dệt Ngày]:[Kim Khác Đêm]])</f>
        <v>0</v>
      </c>
      <c r="H5778" s="10">
        <v>44754</v>
      </c>
      <c r="I5778" s="10">
        <v>44756</v>
      </c>
      <c r="J5778" s="9">
        <f>60+48</f>
        <v>108</v>
      </c>
      <c r="K5778" s="9"/>
      <c r="L5778" s="9">
        <f>60+60+60</f>
        <v>180</v>
      </c>
      <c r="M5778" s="11"/>
      <c r="N5778" s="11"/>
      <c r="O5778" s="9"/>
      <c r="P5778" s="9"/>
      <c r="Q5778" s="9"/>
    </row>
    <row r="5779" spans="1:17" hidden="1" x14ac:dyDescent="0.35">
      <c r="A5779" s="9" t="s">
        <v>77</v>
      </c>
      <c r="B5779" s="9" t="s">
        <v>1600</v>
      </c>
      <c r="C5779" s="9" t="s">
        <v>18</v>
      </c>
      <c r="D5779" s="9"/>
      <c r="E5779" s="10">
        <v>44734</v>
      </c>
      <c r="F5779" s="100">
        <f>SUM(J5779:L5779)</f>
        <v>396</v>
      </c>
      <c r="G5779" s="100">
        <f>SUM(Table3[[#This Row],[Kim Dệt Ngày]:[Kim Khác Đêm]])</f>
        <v>0</v>
      </c>
      <c r="H5779" s="10">
        <v>44755</v>
      </c>
      <c r="I5779" s="10">
        <v>44757</v>
      </c>
      <c r="J5779" s="9">
        <f>48+84+84</f>
        <v>216</v>
      </c>
      <c r="K5779" s="9"/>
      <c r="L5779" s="9">
        <f>84+96</f>
        <v>180</v>
      </c>
      <c r="M5779" s="11"/>
      <c r="N5779" s="11"/>
      <c r="O5779" s="9"/>
      <c r="P5779" s="9"/>
      <c r="Q5779" s="9"/>
    </row>
    <row r="5780" spans="1:17" hidden="1" x14ac:dyDescent="0.35">
      <c r="A5780" s="9" t="s">
        <v>78</v>
      </c>
      <c r="B5780" s="9" t="s">
        <v>1336</v>
      </c>
      <c r="C5780" s="9" t="s">
        <v>25</v>
      </c>
      <c r="D5780" s="9"/>
      <c r="E5780" s="10">
        <v>44750</v>
      </c>
      <c r="F5780" s="100">
        <f>SUM(J5780:L5780)</f>
        <v>420</v>
      </c>
      <c r="G5780" s="100">
        <f>SUM(Table3[[#This Row],[Kim Dệt Ngày]:[Kim Khác Đêm]])</f>
        <v>0</v>
      </c>
      <c r="H5780" s="10">
        <v>44753</v>
      </c>
      <c r="I5780" s="10">
        <v>44757</v>
      </c>
      <c r="J5780" s="9">
        <f>48+72+84+12</f>
        <v>216</v>
      </c>
      <c r="K5780" s="9"/>
      <c r="L5780" s="9">
        <f>72+48+84</f>
        <v>204</v>
      </c>
      <c r="M5780" s="11"/>
      <c r="N5780" s="11"/>
      <c r="O5780" s="9"/>
      <c r="P5780" s="9"/>
      <c r="Q5780" s="9"/>
    </row>
    <row r="5781" spans="1:17" x14ac:dyDescent="0.35">
      <c r="A5781" s="9" t="s">
        <v>60</v>
      </c>
      <c r="B5781" s="9" t="s">
        <v>2243</v>
      </c>
      <c r="C5781" s="9" t="s">
        <v>18</v>
      </c>
      <c r="D5781" s="9"/>
      <c r="E5781" s="10">
        <v>44754</v>
      </c>
      <c r="F5781" s="100">
        <f>SUM(J5781:L5781)</f>
        <v>444</v>
      </c>
      <c r="G5781" s="100">
        <f>SUM(Table3[[#This Row],[Kim Dệt Ngày]:[Kim Khác Đêm]])</f>
        <v>0</v>
      </c>
      <c r="H5781" s="10">
        <v>44755</v>
      </c>
      <c r="I5781" s="10"/>
      <c r="J5781" s="9">
        <f>48+60+48+48</f>
        <v>204</v>
      </c>
      <c r="K5781" s="9"/>
      <c r="L5781" s="9">
        <f>60+60+60+60</f>
        <v>240</v>
      </c>
      <c r="M5781" s="11"/>
      <c r="N5781" s="11"/>
      <c r="O5781" s="9"/>
      <c r="P5781" s="9"/>
      <c r="Q5781" s="9"/>
    </row>
    <row r="5782" spans="1:17" x14ac:dyDescent="0.35">
      <c r="A5782" s="9" t="s">
        <v>61</v>
      </c>
      <c r="B5782" s="9" t="s">
        <v>2766</v>
      </c>
      <c r="C5782" s="9" t="s">
        <v>18</v>
      </c>
      <c r="D5782" s="9"/>
      <c r="E5782" s="10">
        <v>44736</v>
      </c>
      <c r="F5782" s="100">
        <f>SUM(J5782:L5782)</f>
        <v>84</v>
      </c>
      <c r="G5782" s="100">
        <f>SUM(Table3[[#This Row],[Kim Dệt Ngày]:[Kim Khác Đêm]])</f>
        <v>0</v>
      </c>
      <c r="H5782" s="10">
        <v>44757</v>
      </c>
      <c r="I5782" s="10"/>
      <c r="J5782" s="9">
        <f>36</f>
        <v>36</v>
      </c>
      <c r="K5782" s="9"/>
      <c r="L5782" s="9">
        <f>12+36</f>
        <v>48</v>
      </c>
      <c r="M5782" s="11"/>
      <c r="N5782" s="11"/>
      <c r="O5782" s="9"/>
      <c r="P5782" s="9"/>
      <c r="Q5782" s="9"/>
    </row>
    <row r="5783" spans="1:17" x14ac:dyDescent="0.35">
      <c r="A5783" s="9" t="s">
        <v>63</v>
      </c>
      <c r="B5783" s="9" t="s">
        <v>2151</v>
      </c>
      <c r="C5783" s="9" t="s">
        <v>2788</v>
      </c>
      <c r="D5783" s="9"/>
      <c r="E5783" s="10">
        <v>44735</v>
      </c>
      <c r="F5783" s="100">
        <f>SUM(J5783:L5783)</f>
        <v>120</v>
      </c>
      <c r="G5783" s="100">
        <f>SUM(Table3[[#This Row],[Kim Dệt Ngày]:[Kim Khác Đêm]])</f>
        <v>0</v>
      </c>
      <c r="H5783" s="10">
        <v>44757</v>
      </c>
      <c r="I5783" s="10"/>
      <c r="J5783" s="9">
        <f>36</f>
        <v>36</v>
      </c>
      <c r="K5783" s="9"/>
      <c r="L5783" s="9">
        <f>72+12</f>
        <v>84</v>
      </c>
      <c r="M5783" s="11"/>
      <c r="N5783" s="11"/>
      <c r="O5783" s="9"/>
      <c r="P5783" s="9"/>
      <c r="Q5783" s="9"/>
    </row>
    <row r="5784" spans="1:17" x14ac:dyDescent="0.35">
      <c r="A5784" s="9" t="s">
        <v>65</v>
      </c>
      <c r="B5784" s="9" t="s">
        <v>1146</v>
      </c>
      <c r="C5784" s="9" t="s">
        <v>18</v>
      </c>
      <c r="D5784" s="9"/>
      <c r="E5784" s="10">
        <v>44750</v>
      </c>
      <c r="F5784" s="100">
        <f>SUM(J5784:L5784)</f>
        <v>264</v>
      </c>
      <c r="G5784" s="100">
        <f>SUM(Table3[[#This Row],[Kim Dệt Ngày]:[Kim Khác Đêm]])</f>
        <v>0</v>
      </c>
      <c r="H5784" s="10">
        <v>44757</v>
      </c>
      <c r="I5784" s="10"/>
      <c r="J5784" s="9">
        <f>48+60</f>
        <v>108</v>
      </c>
      <c r="K5784" s="9"/>
      <c r="L5784" s="9">
        <f>84+72</f>
        <v>156</v>
      </c>
      <c r="M5784" s="11"/>
      <c r="N5784" s="11"/>
      <c r="O5784" s="9"/>
      <c r="P5784" s="9"/>
      <c r="Q5784" s="9"/>
    </row>
    <row r="5785" spans="1:17" x14ac:dyDescent="0.35">
      <c r="A5785" s="9" t="s">
        <v>66</v>
      </c>
      <c r="B5785" s="9" t="s">
        <v>2297</v>
      </c>
      <c r="C5785" s="9" t="s">
        <v>79</v>
      </c>
      <c r="D5785" s="9"/>
      <c r="E5785" s="10">
        <v>44755</v>
      </c>
      <c r="F5785" s="100">
        <f>SUM(J5785:L5785)</f>
        <v>192</v>
      </c>
      <c r="G5785" s="100">
        <f>SUM(Table3[[#This Row],[Kim Dệt Ngày]:[Kim Khác Đêm]])</f>
        <v>0</v>
      </c>
      <c r="H5785" s="10">
        <v>44756</v>
      </c>
      <c r="I5785" s="10"/>
      <c r="J5785" s="9">
        <f>36+48+24</f>
        <v>108</v>
      </c>
      <c r="K5785" s="9"/>
      <c r="L5785" s="9">
        <f>48+36</f>
        <v>84</v>
      </c>
      <c r="M5785" s="11"/>
      <c r="N5785" s="11"/>
      <c r="O5785" s="9"/>
      <c r="P5785" s="9"/>
      <c r="Q5785" s="9"/>
    </row>
    <row r="5786" spans="1:17" hidden="1" x14ac:dyDescent="0.35">
      <c r="A5786" s="9" t="s">
        <v>72</v>
      </c>
      <c r="B5786" s="9" t="s">
        <v>239</v>
      </c>
      <c r="C5786" s="9" t="s">
        <v>28</v>
      </c>
      <c r="D5786" s="9"/>
      <c r="E5786" s="10">
        <v>44718</v>
      </c>
      <c r="F5786" s="100">
        <f>SUM(J5786:L5786)</f>
        <v>216</v>
      </c>
      <c r="G5786" s="100">
        <f>SUM(Table3[[#This Row],[Kim Dệt Ngày]:[Kim Khác Đêm]])</f>
        <v>0</v>
      </c>
      <c r="H5786" s="10">
        <v>44755</v>
      </c>
      <c r="I5786" s="10">
        <v>44757</v>
      </c>
      <c r="J5786" s="9">
        <f>24+36+36</f>
        <v>96</v>
      </c>
      <c r="K5786" s="9"/>
      <c r="L5786" s="9">
        <f>36+36+48</f>
        <v>120</v>
      </c>
      <c r="M5786" s="11"/>
      <c r="N5786" s="11"/>
      <c r="O5786" s="9"/>
      <c r="P5786" s="9"/>
      <c r="Q5786" s="9"/>
    </row>
    <row r="5787" spans="1:17" hidden="1" x14ac:dyDescent="0.35">
      <c r="A5787" s="9" t="s">
        <v>68</v>
      </c>
      <c r="B5787" s="9" t="s">
        <v>433</v>
      </c>
      <c r="C5787" s="9" t="s">
        <v>79</v>
      </c>
      <c r="D5787" s="9"/>
      <c r="E5787" s="10">
        <v>44746</v>
      </c>
      <c r="F5787" s="100">
        <f>SUM(J5787:L5787)</f>
        <v>396</v>
      </c>
      <c r="G5787" s="100">
        <f>SUM(Table3[[#This Row],[Kim Dệt Ngày]:[Kim Khác Đêm]])</f>
        <v>0</v>
      </c>
      <c r="H5787" s="10">
        <v>44757</v>
      </c>
      <c r="I5787" s="10">
        <v>44759</v>
      </c>
      <c r="J5787" s="9">
        <f>84+36</f>
        <v>120</v>
      </c>
      <c r="K5787" s="9"/>
      <c r="L5787" s="9">
        <f>132+108+36</f>
        <v>276</v>
      </c>
      <c r="M5787" s="11"/>
      <c r="N5787" s="11"/>
      <c r="O5787" s="9"/>
      <c r="P5787" s="9"/>
      <c r="Q5787" s="9"/>
    </row>
    <row r="5788" spans="1:17" hidden="1" x14ac:dyDescent="0.35">
      <c r="A5788" s="9" t="s">
        <v>70</v>
      </c>
      <c r="B5788" s="9" t="s">
        <v>429</v>
      </c>
      <c r="C5788" s="9" t="s">
        <v>1394</v>
      </c>
      <c r="D5788" s="9"/>
      <c r="E5788" s="10">
        <v>44746</v>
      </c>
      <c r="F5788" s="100">
        <f>SUM(J5788:L5788)</f>
        <v>300</v>
      </c>
      <c r="G5788" s="100">
        <f>SUM(Table3[[#This Row],[Kim Dệt Ngày]:[Kim Khác Đêm]])</f>
        <v>0</v>
      </c>
      <c r="H5788" s="10">
        <v>44757</v>
      </c>
      <c r="I5788" s="10">
        <v>44759</v>
      </c>
      <c r="J5788" s="9">
        <f>96+72</f>
        <v>168</v>
      </c>
      <c r="K5788" s="9"/>
      <c r="L5788" s="9">
        <f>132</f>
        <v>132</v>
      </c>
      <c r="M5788" s="11"/>
      <c r="N5788" s="11"/>
      <c r="O5788" s="9"/>
      <c r="P5788" s="9"/>
      <c r="Q5788" s="9"/>
    </row>
    <row r="5789" spans="1:17" x14ac:dyDescent="0.35">
      <c r="A5789" s="9" t="s">
        <v>71</v>
      </c>
      <c r="B5789" s="9" t="s">
        <v>238</v>
      </c>
      <c r="C5789" s="9" t="s">
        <v>18</v>
      </c>
      <c r="D5789" s="9"/>
      <c r="E5789" s="10">
        <v>44753</v>
      </c>
      <c r="F5789" s="100">
        <f>SUM(J5789:L5789)</f>
        <v>528</v>
      </c>
      <c r="G5789" s="100">
        <f>SUM(Table3[[#This Row],[Kim Dệt Ngày]:[Kim Khác Đêm]])</f>
        <v>0</v>
      </c>
      <c r="H5789" s="10">
        <v>44756</v>
      </c>
      <c r="I5789" s="10"/>
      <c r="J5789" s="9">
        <f>72+72</f>
        <v>144</v>
      </c>
      <c r="K5789" s="9"/>
      <c r="L5789" s="9">
        <f>84+96+96+108</f>
        <v>384</v>
      </c>
      <c r="M5789" s="11"/>
      <c r="N5789" s="11"/>
      <c r="O5789" s="9"/>
      <c r="P5789" s="9"/>
      <c r="Q5789" s="9"/>
    </row>
    <row r="5790" spans="1:17" x14ac:dyDescent="0.35">
      <c r="A5790" s="9" t="s">
        <v>72</v>
      </c>
      <c r="B5790" s="9" t="s">
        <v>2790</v>
      </c>
      <c r="C5790" s="9" t="s">
        <v>28</v>
      </c>
      <c r="D5790" s="9"/>
      <c r="E5790" s="10">
        <v>44757</v>
      </c>
      <c r="F5790" s="100">
        <f>SUM(J5790:L5790)</f>
        <v>168</v>
      </c>
      <c r="G5790" s="100">
        <f>SUM(Table3[[#This Row],[Kim Dệt Ngày]:[Kim Khác Đêm]])</f>
        <v>0</v>
      </c>
      <c r="H5790" s="10">
        <v>44758</v>
      </c>
      <c r="I5790" s="10"/>
      <c r="J5790" s="9">
        <f>48</f>
        <v>48</v>
      </c>
      <c r="K5790" s="9"/>
      <c r="L5790" s="9">
        <f>60+60</f>
        <v>120</v>
      </c>
      <c r="M5790" s="11"/>
      <c r="N5790" s="11"/>
      <c r="O5790" s="9"/>
      <c r="P5790" s="9"/>
      <c r="Q5790" s="9"/>
    </row>
    <row r="5791" spans="1:17" x14ac:dyDescent="0.35">
      <c r="A5791" s="9" t="s">
        <v>74</v>
      </c>
      <c r="B5791" s="150" t="s">
        <v>1413</v>
      </c>
      <c r="C5791" s="9" t="s">
        <v>25</v>
      </c>
      <c r="D5791" s="9"/>
      <c r="E5791" s="10">
        <v>44753</v>
      </c>
      <c r="F5791" s="100">
        <f>SUM(J5791:L5791)</f>
        <v>240</v>
      </c>
      <c r="G5791" s="100">
        <f>SUM(Table3[[#This Row],[Kim Dệt Ngày]:[Kim Khác Đêm]])</f>
        <v>0</v>
      </c>
      <c r="H5791" s="10">
        <v>44757</v>
      </c>
      <c r="I5791" s="10"/>
      <c r="J5791" s="9">
        <f>36+36</f>
        <v>72</v>
      </c>
      <c r="K5791" s="9"/>
      <c r="L5791" s="9">
        <f>48+60+60</f>
        <v>168</v>
      </c>
      <c r="M5791" s="11"/>
      <c r="N5791" s="11"/>
      <c r="O5791" s="9"/>
      <c r="P5791" s="9"/>
      <c r="Q5791" s="9"/>
    </row>
    <row r="5792" spans="1:17" hidden="1" x14ac:dyDescent="0.35">
      <c r="A5792" s="9" t="s">
        <v>97</v>
      </c>
      <c r="B5792" s="9" t="s">
        <v>2243</v>
      </c>
      <c r="C5792" s="9" t="s">
        <v>39</v>
      </c>
      <c r="D5792" s="9"/>
      <c r="E5792" s="10">
        <v>44754</v>
      </c>
      <c r="F5792" s="100">
        <f>SUM(J5792:L5792)</f>
        <v>240</v>
      </c>
      <c r="G5792" s="100">
        <f>SUM(Table3[[#This Row],[Kim Dệt Ngày]:[Kim Khác Đêm]])</f>
        <v>0</v>
      </c>
      <c r="H5792" s="10">
        <v>44755</v>
      </c>
      <c r="I5792" s="10">
        <v>44757</v>
      </c>
      <c r="J5792" s="9">
        <f>36+48+48</f>
        <v>132</v>
      </c>
      <c r="K5792" s="9"/>
      <c r="L5792" s="9">
        <f>48+60</f>
        <v>108</v>
      </c>
      <c r="M5792" s="11"/>
      <c r="N5792" s="11"/>
      <c r="O5792" s="9"/>
      <c r="P5792" s="9"/>
      <c r="Q5792" s="9"/>
    </row>
    <row r="5793" spans="1:17" x14ac:dyDescent="0.35">
      <c r="A5793" s="9" t="s">
        <v>76</v>
      </c>
      <c r="B5793" s="9" t="s">
        <v>1113</v>
      </c>
      <c r="C5793" s="9" t="s">
        <v>18</v>
      </c>
      <c r="D5793" s="9"/>
      <c r="E5793" s="10">
        <v>44750</v>
      </c>
      <c r="F5793" s="100">
        <f>SUM(J5793:L5793)</f>
        <v>384</v>
      </c>
      <c r="G5793" s="100">
        <f>SUM(Table3[[#This Row],[Kim Dệt Ngày]:[Kim Khác Đêm]])</f>
        <v>0</v>
      </c>
      <c r="H5793" s="10">
        <v>44756</v>
      </c>
      <c r="I5793" s="10"/>
      <c r="J5793" s="9">
        <f>60+48</f>
        <v>108</v>
      </c>
      <c r="K5793" s="9"/>
      <c r="L5793" s="9">
        <f>60+72+72+72</f>
        <v>276</v>
      </c>
      <c r="M5793" s="11"/>
      <c r="N5793" s="11"/>
      <c r="O5793" s="9"/>
      <c r="P5793" s="9"/>
      <c r="Q5793" s="9"/>
    </row>
    <row r="5794" spans="1:17" x14ac:dyDescent="0.35">
      <c r="A5794" s="9" t="s">
        <v>77</v>
      </c>
      <c r="B5794" s="9" t="s">
        <v>1600</v>
      </c>
      <c r="C5794" s="9" t="s">
        <v>25</v>
      </c>
      <c r="D5794" s="9"/>
      <c r="E5794" s="10">
        <v>44734</v>
      </c>
      <c r="F5794" s="100">
        <f>SUM(J5794:L5794)</f>
        <v>312</v>
      </c>
      <c r="G5794" s="100">
        <f>SUM(Table3[[#This Row],[Kim Dệt Ngày]:[Kim Khác Đêm]])</f>
        <v>0</v>
      </c>
      <c r="H5794" s="10">
        <v>44757</v>
      </c>
      <c r="I5794" s="10"/>
      <c r="J5794" s="9">
        <f>60</f>
        <v>60</v>
      </c>
      <c r="K5794" s="9"/>
      <c r="L5794" s="9">
        <f>84+96+72</f>
        <v>252</v>
      </c>
      <c r="M5794" s="11"/>
      <c r="N5794" s="11"/>
      <c r="O5794" s="9"/>
      <c r="P5794" s="9"/>
      <c r="Q5794" s="9"/>
    </row>
    <row r="5795" spans="1:17" x14ac:dyDescent="0.35">
      <c r="A5795" s="9" t="s">
        <v>78</v>
      </c>
      <c r="B5795" s="9" t="s">
        <v>231</v>
      </c>
      <c r="C5795" s="9" t="s">
        <v>18</v>
      </c>
      <c r="D5795" s="9"/>
      <c r="E5795" s="10">
        <v>44757</v>
      </c>
      <c r="F5795" s="100">
        <f>SUM(J5795:L5795)</f>
        <v>300</v>
      </c>
      <c r="G5795" s="100">
        <f>SUM(Table3[[#This Row],[Kim Dệt Ngày]:[Kim Khác Đêm]])</f>
        <v>0</v>
      </c>
      <c r="H5795" s="10">
        <v>44757</v>
      </c>
      <c r="I5795" s="10"/>
      <c r="J5795" s="9">
        <f>48</f>
        <v>48</v>
      </c>
      <c r="K5795" s="9"/>
      <c r="L5795" s="9">
        <f>60+96+96</f>
        <v>252</v>
      </c>
      <c r="M5795" s="11"/>
      <c r="N5795" s="11"/>
      <c r="O5795" s="9"/>
      <c r="P5795" s="9"/>
      <c r="Q5795" s="9"/>
    </row>
    <row r="5796" spans="1:17" hidden="1" x14ac:dyDescent="0.35">
      <c r="A5796" s="9" t="s">
        <v>88</v>
      </c>
      <c r="B5796" s="150" t="s">
        <v>2590</v>
      </c>
      <c r="C5796" s="9" t="s">
        <v>18</v>
      </c>
      <c r="D5796" s="9"/>
      <c r="E5796" s="10">
        <v>44718</v>
      </c>
      <c r="F5796" s="100">
        <f>SUM(J5796:L5796)</f>
        <v>210</v>
      </c>
      <c r="G5796" s="100">
        <f>SUM(Table3[[#This Row],[Kim Dệt Ngày]:[Kim Khác Đêm]])</f>
        <v>0</v>
      </c>
      <c r="H5796" s="10">
        <v>44755</v>
      </c>
      <c r="I5796" s="10">
        <v>44757</v>
      </c>
      <c r="J5796" s="9">
        <f>10+40+40</f>
        <v>90</v>
      </c>
      <c r="K5796" s="9"/>
      <c r="L5796" s="9">
        <f>40+30+50</f>
        <v>120</v>
      </c>
      <c r="M5796" s="11"/>
      <c r="N5796" s="11"/>
      <c r="O5796" s="9"/>
      <c r="P5796" s="9"/>
      <c r="Q5796" s="9"/>
    </row>
    <row r="5797" spans="1:17" x14ac:dyDescent="0.35">
      <c r="A5797" s="9" t="s">
        <v>80</v>
      </c>
      <c r="B5797" s="261" t="s">
        <v>1070</v>
      </c>
      <c r="C5797" s="9" t="s">
        <v>28</v>
      </c>
      <c r="D5797" s="9"/>
      <c r="E5797" s="10">
        <v>44736</v>
      </c>
      <c r="F5797" s="100">
        <f>SUM(J5797:L5797)</f>
        <v>612</v>
      </c>
      <c r="G5797" s="100">
        <f>SUM(Table3[[#This Row],[Kim Dệt Ngày]:[Kim Khác Đêm]])</f>
        <v>0</v>
      </c>
      <c r="H5797" s="10">
        <v>44753</v>
      </c>
      <c r="I5797" s="10"/>
      <c r="J5797" s="9">
        <f>60+60+72+72+60</f>
        <v>324</v>
      </c>
      <c r="K5797" s="9"/>
      <c r="L5797" s="9">
        <f>72+72+72+72</f>
        <v>288</v>
      </c>
      <c r="M5797" s="11"/>
      <c r="N5797" s="11"/>
      <c r="O5797" s="9"/>
      <c r="P5797" s="9"/>
      <c r="Q5797" s="9"/>
    </row>
    <row r="5798" spans="1:17" x14ac:dyDescent="0.35">
      <c r="A5798" s="9" t="s">
        <v>82</v>
      </c>
      <c r="B5798" s="9" t="s">
        <v>2080</v>
      </c>
      <c r="C5798" s="9" t="s">
        <v>39</v>
      </c>
      <c r="D5798" s="9"/>
      <c r="E5798" s="10">
        <v>44755</v>
      </c>
      <c r="F5798" s="100">
        <f>SUM(J5798:L5798)</f>
        <v>660</v>
      </c>
      <c r="G5798" s="100">
        <f>SUM(Table3[[#This Row],[Kim Dệt Ngày]:[Kim Khác Đêm]])</f>
        <v>0</v>
      </c>
      <c r="H5798" s="10">
        <v>44756</v>
      </c>
      <c r="I5798" s="10"/>
      <c r="J5798" s="9">
        <f>84+84+72</f>
        <v>240</v>
      </c>
      <c r="K5798" s="9"/>
      <c r="L5798" s="9">
        <f>108+96+108+108</f>
        <v>420</v>
      </c>
      <c r="M5798" s="11"/>
      <c r="N5798" s="11"/>
      <c r="O5798" s="9"/>
      <c r="P5798" s="9"/>
      <c r="Q5798" s="9"/>
    </row>
    <row r="5799" spans="1:17" x14ac:dyDescent="0.35">
      <c r="A5799" s="9" t="s">
        <v>83</v>
      </c>
      <c r="B5799" s="161" t="s">
        <v>1071</v>
      </c>
      <c r="C5799" s="9" t="s">
        <v>28</v>
      </c>
      <c r="D5799" s="9"/>
      <c r="E5799" s="10">
        <v>44736</v>
      </c>
      <c r="F5799" s="100">
        <f>SUM(J5799:L5799)</f>
        <v>612</v>
      </c>
      <c r="G5799" s="100">
        <f>SUM(Table3[[#This Row],[Kim Dệt Ngày]:[Kim Khác Đêm]])</f>
        <v>0</v>
      </c>
      <c r="H5799" s="10">
        <v>44753</v>
      </c>
      <c r="I5799" s="10"/>
      <c r="J5799" s="9">
        <f>72+60+72+60+48</f>
        <v>312</v>
      </c>
      <c r="K5799" s="9"/>
      <c r="L5799" s="9">
        <f>72+72+84+72</f>
        <v>300</v>
      </c>
      <c r="M5799" s="11"/>
      <c r="N5799" s="11"/>
      <c r="O5799" s="9"/>
      <c r="P5799" s="9"/>
      <c r="Q5799" s="9"/>
    </row>
    <row r="5800" spans="1:17" x14ac:dyDescent="0.35">
      <c r="A5800" s="9" t="s">
        <v>85</v>
      </c>
      <c r="B5800" s="151" t="s">
        <v>1476</v>
      </c>
      <c r="C5800" s="9" t="s">
        <v>28</v>
      </c>
      <c r="D5800" s="9"/>
      <c r="E5800" s="10">
        <v>44751</v>
      </c>
      <c r="F5800" s="100">
        <f>SUM(J5800:L5800)</f>
        <v>132</v>
      </c>
      <c r="G5800" s="100">
        <f>SUM(Table3[[#This Row],[Kim Dệt Ngày]:[Kim Khác Đêm]])</f>
        <v>0</v>
      </c>
      <c r="H5800" s="10">
        <v>44751</v>
      </c>
      <c r="I5800" s="10"/>
      <c r="J5800" s="9"/>
      <c r="K5800" s="9"/>
      <c r="L5800" s="9">
        <f>72+60</f>
        <v>132</v>
      </c>
      <c r="M5800" s="11"/>
      <c r="N5800" s="11"/>
      <c r="O5800" s="9"/>
      <c r="P5800" s="9"/>
      <c r="Q5800" s="9"/>
    </row>
    <row r="5801" spans="1:17" x14ac:dyDescent="0.35">
      <c r="A5801" s="9" t="s">
        <v>88</v>
      </c>
      <c r="B5801" s="9" t="s">
        <v>1306</v>
      </c>
      <c r="C5801" s="9" t="s">
        <v>28</v>
      </c>
      <c r="D5801" s="9"/>
      <c r="E5801" s="10">
        <v>44757</v>
      </c>
      <c r="F5801" s="100">
        <f>SUM(J5801:L5801)</f>
        <v>90</v>
      </c>
      <c r="G5801" s="100">
        <f>SUM(Table3[[#This Row],[Kim Dệt Ngày]:[Kim Khác Đêm]])</f>
        <v>0</v>
      </c>
      <c r="H5801" s="10">
        <v>44758</v>
      </c>
      <c r="I5801" s="10"/>
      <c r="J5801" s="9">
        <f>10</f>
        <v>10</v>
      </c>
      <c r="K5801" s="9"/>
      <c r="L5801" s="9">
        <f>80</f>
        <v>80</v>
      </c>
      <c r="M5801" s="11"/>
      <c r="N5801" s="11"/>
      <c r="O5801" s="9"/>
      <c r="P5801" s="9"/>
      <c r="Q5801" s="9"/>
    </row>
    <row r="5802" spans="1:17" hidden="1" x14ac:dyDescent="0.35">
      <c r="A5802" s="9" t="s">
        <v>96</v>
      </c>
      <c r="B5802" s="9" t="s">
        <v>1060</v>
      </c>
      <c r="C5802" s="9" t="s">
        <v>28</v>
      </c>
      <c r="D5802" s="9"/>
      <c r="E5802" s="10">
        <v>44756</v>
      </c>
      <c r="F5802" s="100">
        <f>SUM(J5802:L5802)</f>
        <v>216</v>
      </c>
      <c r="G5802" s="100">
        <f>SUM(Table3[[#This Row],[Kim Dệt Ngày]:[Kim Khác Đêm]])</f>
        <v>0</v>
      </c>
      <c r="H5802" s="10">
        <v>44757</v>
      </c>
      <c r="I5802" s="10">
        <v>44758</v>
      </c>
      <c r="J5802" s="9">
        <f>72+48</f>
        <v>120</v>
      </c>
      <c r="K5802" s="9"/>
      <c r="L5802" s="9">
        <f>84+12</f>
        <v>96</v>
      </c>
      <c r="M5802" s="11"/>
      <c r="N5802" s="11"/>
      <c r="O5802" s="9"/>
      <c r="P5802" s="9"/>
      <c r="Q5802" s="9"/>
    </row>
    <row r="5803" spans="1:17" x14ac:dyDescent="0.35">
      <c r="A5803" s="9" t="s">
        <v>90</v>
      </c>
      <c r="B5803" s="9" t="s">
        <v>1070</v>
      </c>
      <c r="C5803" s="9" t="s">
        <v>39</v>
      </c>
      <c r="D5803" s="9"/>
      <c r="E5803" s="10">
        <v>44731</v>
      </c>
      <c r="F5803" s="100">
        <f>SUM(J5803:L5803)</f>
        <v>336</v>
      </c>
      <c r="G5803" s="100">
        <f>SUM(Table3[[#This Row],[Kim Dệt Ngày]:[Kim Khác Đêm]])</f>
        <v>0</v>
      </c>
      <c r="H5803" s="10">
        <v>44755</v>
      </c>
      <c r="I5803" s="10"/>
      <c r="J5803" s="9">
        <f>36+60+48+48</f>
        <v>192</v>
      </c>
      <c r="K5803" s="9"/>
      <c r="L5803" s="9">
        <f>36+60+48</f>
        <v>144</v>
      </c>
      <c r="M5803" s="11"/>
      <c r="N5803" s="11"/>
      <c r="O5803" s="9"/>
      <c r="P5803" s="9"/>
      <c r="Q5803" s="9"/>
    </row>
    <row r="5804" spans="1:17" x14ac:dyDescent="0.35">
      <c r="A5804" s="9" t="s">
        <v>91</v>
      </c>
      <c r="B5804" s="161" t="s">
        <v>1071</v>
      </c>
      <c r="C5804" s="9" t="s">
        <v>28</v>
      </c>
      <c r="D5804" s="9"/>
      <c r="E5804" s="10">
        <v>44736</v>
      </c>
      <c r="F5804" s="100">
        <f>SUM(J5804:L5804)</f>
        <v>0</v>
      </c>
      <c r="G5804" s="100">
        <f>SUM(Table3[[#This Row],[Kim Dệt Ngày]:[Kim Khác Đêm]])</f>
        <v>0</v>
      </c>
      <c r="H5804" s="10">
        <v>44743</v>
      </c>
      <c r="I5804" s="10"/>
      <c r="J5804" s="9"/>
      <c r="K5804" s="9"/>
      <c r="L5804" s="9"/>
      <c r="M5804" s="11"/>
      <c r="N5804" s="11"/>
      <c r="O5804" s="9"/>
      <c r="P5804" s="9"/>
      <c r="Q5804" s="9"/>
    </row>
    <row r="5805" spans="1:17" x14ac:dyDescent="0.35">
      <c r="A5805" s="9" t="s">
        <v>93</v>
      </c>
      <c r="B5805" s="9" t="s">
        <v>1691</v>
      </c>
      <c r="C5805" s="9" t="s">
        <v>18</v>
      </c>
      <c r="D5805" s="9"/>
      <c r="E5805" s="10">
        <v>44749</v>
      </c>
      <c r="F5805" s="100">
        <f>SUM(J5805:L5805)</f>
        <v>252</v>
      </c>
      <c r="G5805" s="100">
        <f>SUM(Table3[[#This Row],[Kim Dệt Ngày]:[Kim Khác Đêm]])</f>
        <v>0</v>
      </c>
      <c r="H5805" s="10">
        <v>44750</v>
      </c>
      <c r="I5805" s="10"/>
      <c r="J5805" s="9">
        <f>36+48+24+12+36</f>
        <v>156</v>
      </c>
      <c r="K5805" s="9"/>
      <c r="L5805" s="9">
        <f>48+48</f>
        <v>96</v>
      </c>
      <c r="M5805" s="11"/>
      <c r="N5805" s="11"/>
      <c r="O5805" s="9"/>
      <c r="P5805" s="9"/>
      <c r="Q5805" s="9"/>
    </row>
    <row r="5806" spans="1:17" hidden="1" x14ac:dyDescent="0.35">
      <c r="A5806" s="9" t="s">
        <v>101</v>
      </c>
      <c r="B5806" s="9" t="s">
        <v>2258</v>
      </c>
      <c r="C5806" s="9" t="s">
        <v>39</v>
      </c>
      <c r="D5806" s="9"/>
      <c r="E5806" s="10">
        <v>44738</v>
      </c>
      <c r="F5806" s="100">
        <f>SUM(J5806:L5806)</f>
        <v>468</v>
      </c>
      <c r="G5806" s="100">
        <f>SUM(Table3[[#This Row],[Kim Dệt Ngày]:[Kim Khác Đêm]])</f>
        <v>0</v>
      </c>
      <c r="H5806" s="10">
        <v>44751</v>
      </c>
      <c r="I5806" s="10">
        <v>44757</v>
      </c>
      <c r="J5806" s="9">
        <f>36+36+36+36</f>
        <v>144</v>
      </c>
      <c r="K5806" s="9"/>
      <c r="L5806" s="9">
        <f>36+48+48+48+48+36+60</f>
        <v>324</v>
      </c>
      <c r="M5806" s="11"/>
      <c r="N5806" s="11"/>
      <c r="O5806" s="9"/>
      <c r="P5806" s="9"/>
      <c r="Q5806" s="9"/>
    </row>
    <row r="5807" spans="1:17" hidden="1" x14ac:dyDescent="0.35">
      <c r="A5807" s="9" t="s">
        <v>102</v>
      </c>
      <c r="B5807" s="9" t="s">
        <v>2258</v>
      </c>
      <c r="C5807" s="9" t="s">
        <v>39</v>
      </c>
      <c r="D5807" s="9"/>
      <c r="E5807" s="10">
        <v>44738</v>
      </c>
      <c r="F5807" s="100">
        <f>SUM(J5807:L5807)</f>
        <v>1164</v>
      </c>
      <c r="G5807" s="100">
        <f>SUM(Table3[[#This Row],[Kim Dệt Ngày]:[Kim Khác Đêm]])</f>
        <v>0</v>
      </c>
      <c r="H5807" s="10">
        <v>44743</v>
      </c>
      <c r="I5807" s="10">
        <v>44757</v>
      </c>
      <c r="J5807" s="9">
        <f>36+36+36+36+24+36+48+36+36+36+48+48</f>
        <v>456</v>
      </c>
      <c r="K5807" s="9"/>
      <c r="L5807" s="9">
        <f>48+60+48+48+48+48+48+48+48+36+48+36+36+48+60</f>
        <v>708</v>
      </c>
      <c r="M5807" s="11"/>
      <c r="N5807" s="11"/>
      <c r="O5807" s="9"/>
      <c r="P5807" s="9"/>
      <c r="Q5807" s="9"/>
    </row>
    <row r="5808" spans="1:17" hidden="1" x14ac:dyDescent="0.35">
      <c r="A5808" s="9" t="s">
        <v>78</v>
      </c>
      <c r="B5808" s="9" t="s">
        <v>1336</v>
      </c>
      <c r="C5808" s="9" t="s">
        <v>18</v>
      </c>
      <c r="D5808" s="9"/>
      <c r="E5808" s="10">
        <v>44750</v>
      </c>
      <c r="F5808" s="100">
        <f>SUM(J5808:L5808)</f>
        <v>48</v>
      </c>
      <c r="G5808" s="100">
        <f>SUM(Table3[[#This Row],[Kim Dệt Ngày]:[Kim Khác Đêm]])</f>
        <v>0</v>
      </c>
      <c r="H5808" s="10">
        <v>44757</v>
      </c>
      <c r="I5808" s="10">
        <v>44757</v>
      </c>
      <c r="J5808" s="9">
        <f>48</f>
        <v>48</v>
      </c>
      <c r="K5808" s="9"/>
      <c r="L5808" s="9"/>
      <c r="M5808" s="11"/>
      <c r="N5808" s="11"/>
      <c r="O5808" s="9"/>
      <c r="P5808" s="9"/>
      <c r="Q5808" s="9"/>
    </row>
    <row r="5809" spans="1:17" x14ac:dyDescent="0.35">
      <c r="A5809" s="9" t="s">
        <v>94</v>
      </c>
      <c r="B5809" s="9" t="s">
        <v>2603</v>
      </c>
      <c r="C5809" s="9" t="s">
        <v>25</v>
      </c>
      <c r="D5809" s="9"/>
      <c r="E5809" s="10">
        <v>44754</v>
      </c>
      <c r="F5809" s="100">
        <f>SUM(J5809:L5809)</f>
        <v>372</v>
      </c>
      <c r="G5809" s="100">
        <f>SUM(Table3[[#This Row],[Kim Dệt Ngày]:[Kim Khác Đêm]])</f>
        <v>0</v>
      </c>
      <c r="H5809" s="10">
        <v>44755</v>
      </c>
      <c r="I5809" s="10"/>
      <c r="J5809" s="9">
        <f>36+36+36+36</f>
        <v>144</v>
      </c>
      <c r="K5809" s="9"/>
      <c r="L5809" s="9">
        <f>48+48+48+48+36</f>
        <v>228</v>
      </c>
      <c r="M5809" s="11"/>
      <c r="N5809" s="11"/>
      <c r="O5809" s="9"/>
      <c r="P5809" s="9"/>
      <c r="Q5809" s="9"/>
    </row>
    <row r="5810" spans="1:17" hidden="1" x14ac:dyDescent="0.35">
      <c r="A5810" s="9" t="s">
        <v>105</v>
      </c>
      <c r="B5810" s="9" t="s">
        <v>2258</v>
      </c>
      <c r="C5810" s="9" t="s">
        <v>39</v>
      </c>
      <c r="D5810" s="9"/>
      <c r="E5810" s="10">
        <v>44738</v>
      </c>
      <c r="F5810" s="100">
        <f>SUM(J5810:L5810)</f>
        <v>1152</v>
      </c>
      <c r="G5810" s="100">
        <f>SUM(Table3[[#This Row],[Kim Dệt Ngày]:[Kim Khác Đêm]])</f>
        <v>0</v>
      </c>
      <c r="H5810" s="10">
        <v>44743</v>
      </c>
      <c r="I5810" s="10">
        <v>44757</v>
      </c>
      <c r="J5810" s="9">
        <f>36+36+36+36+24+48+36+48+48+36+36+36</f>
        <v>456</v>
      </c>
      <c r="K5810" s="9"/>
      <c r="L5810" s="9">
        <f>36+36+48+60+48+48+48+48+48+48+48+36+48+48+48</f>
        <v>696</v>
      </c>
      <c r="M5810" s="11"/>
      <c r="N5810" s="11"/>
      <c r="O5810" s="9"/>
      <c r="P5810" s="9"/>
      <c r="Q5810" s="9"/>
    </row>
    <row r="5811" spans="1:17" x14ac:dyDescent="0.35">
      <c r="A5811" s="9" t="s">
        <v>95</v>
      </c>
      <c r="B5811" s="9" t="s">
        <v>2603</v>
      </c>
      <c r="C5811" s="9" t="s">
        <v>79</v>
      </c>
      <c r="D5811" s="9"/>
      <c r="E5811" s="10">
        <v>44754</v>
      </c>
      <c r="F5811" s="100">
        <f>SUM(J5811:L5811)</f>
        <v>600</v>
      </c>
      <c r="G5811" s="100">
        <f>SUM(Table3[[#This Row],[Kim Dệt Ngày]:[Kim Khác Đêm]])</f>
        <v>0</v>
      </c>
      <c r="H5811" s="10">
        <v>44755</v>
      </c>
      <c r="I5811" s="10"/>
      <c r="J5811" s="9">
        <f>48+60+60+48</f>
        <v>216</v>
      </c>
      <c r="K5811" s="9"/>
      <c r="L5811" s="9">
        <f>72+84+72+72+84</f>
        <v>384</v>
      </c>
      <c r="M5811" s="11"/>
      <c r="N5811" s="11"/>
      <c r="O5811" s="9"/>
      <c r="P5811" s="9"/>
      <c r="Q5811" s="9"/>
    </row>
    <row r="5812" spans="1:17" x14ac:dyDescent="0.35">
      <c r="A5812" s="9" t="s">
        <v>96</v>
      </c>
      <c r="B5812" s="9" t="s">
        <v>1060</v>
      </c>
      <c r="C5812" s="9" t="s">
        <v>39</v>
      </c>
      <c r="D5812" s="9"/>
      <c r="E5812" s="10">
        <v>44756</v>
      </c>
      <c r="F5812" s="100">
        <f>SUM(J5812:L5812)</f>
        <v>144</v>
      </c>
      <c r="G5812" s="100">
        <f>SUM(Table3[[#This Row],[Kim Dệt Ngày]:[Kim Khác Đêm]])</f>
        <v>0</v>
      </c>
      <c r="H5812" s="10">
        <v>44758</v>
      </c>
      <c r="I5812" s="10"/>
      <c r="J5812" s="9"/>
      <c r="K5812" s="9"/>
      <c r="L5812" s="9">
        <f>60+84</f>
        <v>144</v>
      </c>
      <c r="M5812" s="11"/>
      <c r="N5812" s="11"/>
      <c r="O5812" s="9"/>
      <c r="P5812" s="9"/>
      <c r="Q5812" s="9"/>
    </row>
    <row r="5813" spans="1:17" x14ac:dyDescent="0.35">
      <c r="A5813" s="9" t="s">
        <v>97</v>
      </c>
      <c r="B5813" s="9" t="s">
        <v>2243</v>
      </c>
      <c r="C5813" s="9" t="s">
        <v>28</v>
      </c>
      <c r="D5813" s="9"/>
      <c r="E5813" s="10">
        <v>44754</v>
      </c>
      <c r="F5813" s="100">
        <f>SUM(J5813:L5813)</f>
        <v>168</v>
      </c>
      <c r="G5813" s="100">
        <f>SUM(Table3[[#This Row],[Kim Dệt Ngày]:[Kim Khác Đêm]])</f>
        <v>0</v>
      </c>
      <c r="H5813" s="10">
        <v>44757</v>
      </c>
      <c r="I5813" s="10"/>
      <c r="J5813" s="9">
        <f>36</f>
        <v>36</v>
      </c>
      <c r="K5813" s="9"/>
      <c r="L5813" s="9">
        <f>36+48+48</f>
        <v>132</v>
      </c>
      <c r="M5813" s="11"/>
      <c r="N5813" s="11"/>
      <c r="O5813" s="9"/>
      <c r="P5813" s="9"/>
      <c r="Q5813" s="9"/>
    </row>
    <row r="5814" spans="1:17" x14ac:dyDescent="0.35">
      <c r="A5814" s="9" t="s">
        <v>98</v>
      </c>
      <c r="B5814" s="9" t="s">
        <v>2603</v>
      </c>
      <c r="C5814" s="9" t="s">
        <v>28</v>
      </c>
      <c r="D5814" s="9"/>
      <c r="E5814" s="10">
        <v>44754</v>
      </c>
      <c r="F5814" s="100">
        <f>SUM(J5814:L5814)</f>
        <v>432</v>
      </c>
      <c r="G5814" s="100">
        <f>SUM(Table3[[#This Row],[Kim Dệt Ngày]:[Kim Khác Đêm]])</f>
        <v>0</v>
      </c>
      <c r="H5814" s="10">
        <v>44755</v>
      </c>
      <c r="I5814" s="10"/>
      <c r="J5814" s="9">
        <f>36+48+36+36</f>
        <v>156</v>
      </c>
      <c r="K5814" s="9"/>
      <c r="L5814" s="9">
        <f>48+60+60+60+48</f>
        <v>276</v>
      </c>
      <c r="M5814" s="11"/>
      <c r="N5814" s="11"/>
      <c r="O5814" s="9"/>
      <c r="P5814" s="9"/>
      <c r="Q5814" s="9"/>
    </row>
    <row r="5815" spans="1:17" x14ac:dyDescent="0.35">
      <c r="A5815" s="9" t="s">
        <v>100</v>
      </c>
      <c r="B5815" s="9" t="s">
        <v>2603</v>
      </c>
      <c r="C5815" s="9" t="s">
        <v>25</v>
      </c>
      <c r="D5815" s="9"/>
      <c r="E5815" s="10">
        <v>44754</v>
      </c>
      <c r="F5815" s="100">
        <f>SUM(J5815:L5815)</f>
        <v>0</v>
      </c>
      <c r="G5815" s="100">
        <f>SUM(Table3[[#This Row],[Kim Dệt Ngày]:[Kim Khác Đêm]])</f>
        <v>0</v>
      </c>
      <c r="H5815" s="10">
        <v>44743</v>
      </c>
      <c r="I5815" s="10"/>
      <c r="J5815" s="9"/>
      <c r="K5815" s="9"/>
      <c r="L5815" s="9"/>
      <c r="M5815" s="11"/>
      <c r="N5815" s="11"/>
      <c r="O5815" s="9"/>
      <c r="P5815" s="9"/>
      <c r="Q5815" s="9"/>
    </row>
    <row r="5816" spans="1:17" x14ac:dyDescent="0.35">
      <c r="A5816" s="9" t="s">
        <v>101</v>
      </c>
      <c r="B5816" s="9" t="s">
        <v>1306</v>
      </c>
      <c r="C5816" s="9" t="s">
        <v>39</v>
      </c>
      <c r="D5816" s="9"/>
      <c r="E5816" s="10">
        <v>44726</v>
      </c>
      <c r="F5816" s="100">
        <f>SUM(J5816:L5816)</f>
        <v>20</v>
      </c>
      <c r="G5816" s="100">
        <f>SUM(Table3[[#This Row],[Kim Dệt Ngày]:[Kim Khác Đêm]])</f>
        <v>0</v>
      </c>
      <c r="H5816" s="10">
        <v>44758</v>
      </c>
      <c r="I5816" s="10"/>
      <c r="J5816" s="9"/>
      <c r="K5816" s="9"/>
      <c r="L5816" s="9">
        <f>20</f>
        <v>20</v>
      </c>
      <c r="M5816" s="11"/>
      <c r="N5816" s="11"/>
      <c r="O5816" s="9"/>
      <c r="P5816" s="9"/>
      <c r="Q5816" s="9"/>
    </row>
    <row r="5817" spans="1:17" x14ac:dyDescent="0.35">
      <c r="A5817" s="9" t="s">
        <v>102</v>
      </c>
      <c r="B5817" s="9" t="s">
        <v>1306</v>
      </c>
      <c r="C5817" s="9" t="s">
        <v>39</v>
      </c>
      <c r="D5817" s="9"/>
      <c r="E5817" s="10">
        <v>44726</v>
      </c>
      <c r="F5817" s="100">
        <f>SUM(J5817:L5817)</f>
        <v>100</v>
      </c>
      <c r="G5817" s="100">
        <f>SUM(Table3[[#This Row],[Kim Dệt Ngày]:[Kim Khác Đêm]])</f>
        <v>0</v>
      </c>
      <c r="H5817" s="10">
        <v>44758</v>
      </c>
      <c r="I5817" s="10"/>
      <c r="J5817" s="9">
        <f>30</f>
        <v>30</v>
      </c>
      <c r="K5817" s="9"/>
      <c r="L5817" s="9">
        <f>20+50</f>
        <v>70</v>
      </c>
      <c r="M5817" s="11"/>
      <c r="N5817" s="11"/>
      <c r="O5817" s="9"/>
      <c r="P5817" s="9"/>
      <c r="Q5817" s="9"/>
    </row>
    <row r="5818" spans="1:17" x14ac:dyDescent="0.35">
      <c r="A5818" s="9" t="s">
        <v>103</v>
      </c>
      <c r="B5818" s="9" t="s">
        <v>2258</v>
      </c>
      <c r="C5818" s="9" t="s">
        <v>39</v>
      </c>
      <c r="D5818" s="9"/>
      <c r="E5818" s="10">
        <v>44738</v>
      </c>
      <c r="F5818" s="100">
        <f>SUM(J5818:L5818)</f>
        <v>156</v>
      </c>
      <c r="G5818" s="100">
        <f>SUM(Table3[[#This Row],[Kim Dệt Ngày]:[Kim Khác Đêm]])</f>
        <v>0</v>
      </c>
      <c r="H5818" s="10">
        <v>44747</v>
      </c>
      <c r="I5818" s="10"/>
      <c r="J5818" s="9">
        <f>24+36+12</f>
        <v>72</v>
      </c>
      <c r="K5818" s="9"/>
      <c r="L5818" s="9">
        <f>36+48</f>
        <v>84</v>
      </c>
      <c r="M5818" s="11"/>
      <c r="N5818" s="11"/>
      <c r="O5818" s="9"/>
      <c r="P5818" s="9"/>
      <c r="Q5818" s="9"/>
    </row>
    <row r="5819" spans="1:17" x14ac:dyDescent="0.35">
      <c r="A5819" s="9" t="s">
        <v>105</v>
      </c>
      <c r="B5819" s="9" t="s">
        <v>2603</v>
      </c>
      <c r="C5819" s="9" t="s">
        <v>28</v>
      </c>
      <c r="D5819" s="9"/>
      <c r="E5819" s="10">
        <v>44754</v>
      </c>
      <c r="F5819" s="100">
        <f>SUM(J5819:L5819)</f>
        <v>120</v>
      </c>
      <c r="G5819" s="100">
        <f>SUM(Table3[[#This Row],[Kim Dệt Ngày]:[Kim Khác Đêm]])</f>
        <v>0</v>
      </c>
      <c r="H5819" s="10">
        <v>44758</v>
      </c>
      <c r="I5819" s="10"/>
      <c r="J5819" s="9"/>
      <c r="K5819" s="9"/>
      <c r="L5819" s="9">
        <f>60+60</f>
        <v>120</v>
      </c>
      <c r="M5819" s="11"/>
      <c r="N5819" s="11"/>
      <c r="O5819" s="9"/>
      <c r="P5819" s="9"/>
      <c r="Q5819" s="9"/>
    </row>
    <row r="5820" spans="1:17" x14ac:dyDescent="0.35">
      <c r="A5820" s="9" t="s">
        <v>68</v>
      </c>
      <c r="B5820" s="9" t="s">
        <v>433</v>
      </c>
      <c r="C5820" s="9" t="s">
        <v>18</v>
      </c>
      <c r="D5820" s="9"/>
      <c r="E5820" s="10">
        <v>44746</v>
      </c>
      <c r="F5820" s="100">
        <f>SUM(J5820:L5820)</f>
        <v>0</v>
      </c>
      <c r="G5820" s="100">
        <f>SUM(Table3[[#This Row],[Kim Dệt Ngày]:[Kim Khác Đêm]])</f>
        <v>0</v>
      </c>
      <c r="H5820" s="10">
        <v>44760</v>
      </c>
      <c r="I5820" s="10"/>
      <c r="J5820" s="9"/>
      <c r="K5820" s="9"/>
      <c r="L5820" s="9"/>
      <c r="M5820" s="11"/>
      <c r="N5820" s="11"/>
      <c r="O5820" s="9"/>
      <c r="P5820" s="9"/>
      <c r="Q5820" s="9"/>
    </row>
    <row r="5821" spans="1:17" hidden="1" x14ac:dyDescent="0.35">
      <c r="A5821" s="9" t="s">
        <v>70</v>
      </c>
      <c r="B5821" s="9" t="s">
        <v>1127</v>
      </c>
      <c r="C5821" s="9" t="s">
        <v>28</v>
      </c>
      <c r="D5821" s="9"/>
      <c r="E5821" s="10">
        <v>44754</v>
      </c>
      <c r="F5821" s="100">
        <f>SUM(J5821:L5821)</f>
        <v>72</v>
      </c>
      <c r="G5821" s="100">
        <f>SUM(Table3[[#This Row],[Kim Dệt Ngày]:[Kim Khác Đêm]])</f>
        <v>0</v>
      </c>
      <c r="H5821" s="10">
        <v>44759</v>
      </c>
      <c r="I5821" s="10">
        <v>44759</v>
      </c>
      <c r="J5821" s="9"/>
      <c r="K5821" s="9"/>
      <c r="L5821" s="9">
        <f>12+60</f>
        <v>72</v>
      </c>
      <c r="M5821" s="11"/>
      <c r="N5821" s="11"/>
      <c r="O5821" s="9"/>
      <c r="P5821" s="9"/>
      <c r="Q5821" s="9"/>
    </row>
    <row r="5822" spans="1:17" x14ac:dyDescent="0.35">
      <c r="A5822" s="9" t="s">
        <v>70</v>
      </c>
      <c r="B5822" s="9" t="s">
        <v>1127</v>
      </c>
      <c r="C5822" s="9" t="s">
        <v>135</v>
      </c>
      <c r="D5822" s="9"/>
      <c r="E5822" s="10">
        <v>44754</v>
      </c>
      <c r="F5822" s="100">
        <f>SUM(J5822:L5822)</f>
        <v>48</v>
      </c>
      <c r="G5822" s="100">
        <f>SUM(Table3[[#This Row],[Kim Dệt Ngày]:[Kim Khác Đêm]])</f>
        <v>0</v>
      </c>
      <c r="H5822" s="10">
        <v>44759</v>
      </c>
      <c r="I5822" s="10"/>
      <c r="J5822" s="9"/>
      <c r="K5822" s="9"/>
      <c r="L5822" s="9">
        <f>48</f>
        <v>48</v>
      </c>
      <c r="M5822" s="11"/>
      <c r="N5822" s="11"/>
      <c r="O5822" s="9"/>
      <c r="P5822" s="9"/>
      <c r="Q5822" s="9"/>
    </row>
    <row r="5823" spans="1:17" x14ac:dyDescent="0.35">
      <c r="A5823" s="9"/>
      <c r="B5823" s="9"/>
      <c r="C5823" s="9"/>
      <c r="D5823" s="9"/>
      <c r="E5823" s="10"/>
      <c r="F5823" s="100">
        <f>SUM(J5823:L5823)</f>
        <v>0</v>
      </c>
      <c r="G5823" s="100">
        <f>SUM(Table3[[#This Row],[Kim Dệt Ngày]:[Kim Khác Đêm]])</f>
        <v>0</v>
      </c>
      <c r="H5823" s="10"/>
      <c r="I5823" s="10"/>
      <c r="J5823" s="9"/>
      <c r="K5823" s="9"/>
      <c r="L5823" s="9"/>
      <c r="M5823" s="11"/>
      <c r="N5823" s="11"/>
      <c r="O5823" s="9"/>
      <c r="P5823" s="9"/>
      <c r="Q5823" s="9"/>
    </row>
    <row r="5824" spans="1:17" x14ac:dyDescent="0.35">
      <c r="A5824" s="9"/>
      <c r="B5824" s="9"/>
      <c r="C5824" s="9"/>
      <c r="D5824" s="9"/>
      <c r="E5824" s="10"/>
      <c r="F5824" s="100">
        <f>SUM(J5824:L5824)</f>
        <v>0</v>
      </c>
      <c r="G5824" s="100">
        <f>SUM(Table3[[#This Row],[Kim Dệt Ngày]:[Kim Khác Đêm]])</f>
        <v>0</v>
      </c>
      <c r="H5824" s="10"/>
      <c r="I5824" s="10"/>
      <c r="J5824" s="9"/>
      <c r="K5824" s="9"/>
      <c r="L5824" s="9"/>
      <c r="M5824" s="11"/>
      <c r="N5824" s="11"/>
      <c r="O5824" s="9"/>
      <c r="P5824" s="9"/>
      <c r="Q5824" s="9"/>
    </row>
    <row r="5825" spans="1:17" x14ac:dyDescent="0.35">
      <c r="A5825" s="9"/>
      <c r="B5825" s="9"/>
      <c r="C5825" s="9"/>
      <c r="D5825" s="9"/>
      <c r="E5825" s="10"/>
      <c r="F5825" s="100">
        <f>SUM(J5825:L5825)</f>
        <v>0</v>
      </c>
      <c r="G5825" s="100">
        <f>SUM(Table3[[#This Row],[Kim Dệt Ngày]:[Kim Khác Đêm]])</f>
        <v>0</v>
      </c>
      <c r="H5825" s="10"/>
      <c r="I5825" s="10"/>
      <c r="J5825" s="9"/>
      <c r="K5825" s="9"/>
      <c r="L5825" s="9"/>
      <c r="M5825" s="11"/>
      <c r="N5825" s="11"/>
      <c r="O5825" s="9"/>
      <c r="P5825" s="9"/>
      <c r="Q5825" s="9"/>
    </row>
    <row r="5826" spans="1:17" x14ac:dyDescent="0.35">
      <c r="A5826" s="9"/>
      <c r="B5826" s="9"/>
      <c r="C5826" s="9"/>
      <c r="D5826" s="9"/>
      <c r="E5826" s="10"/>
      <c r="F5826" s="100">
        <f>SUM(J5826:L5826)</f>
        <v>0</v>
      </c>
      <c r="G5826" s="100">
        <f>SUM(Table3[[#This Row],[Kim Dệt Ngày]:[Kim Khác Đêm]])</f>
        <v>0</v>
      </c>
      <c r="H5826" s="10"/>
      <c r="I5826" s="10"/>
      <c r="J5826" s="9"/>
      <c r="K5826" s="9"/>
      <c r="L5826" s="9"/>
      <c r="M5826" s="11"/>
      <c r="N5826" s="11"/>
      <c r="O5826" s="9"/>
      <c r="P5826" s="9"/>
      <c r="Q5826" s="9"/>
    </row>
    <row r="5827" spans="1:17" x14ac:dyDescent="0.35">
      <c r="A5827" s="9"/>
      <c r="B5827" s="9"/>
      <c r="C5827" s="9"/>
      <c r="D5827" s="9"/>
      <c r="E5827" s="10"/>
      <c r="F5827" s="100">
        <f>SUM(J5827:L5827)</f>
        <v>0</v>
      </c>
      <c r="G5827" s="100">
        <f>SUM(Table3[[#This Row],[Kim Dệt Ngày]:[Kim Khác Đêm]])</f>
        <v>0</v>
      </c>
      <c r="H5827" s="10"/>
      <c r="I5827" s="10"/>
      <c r="J5827" s="9"/>
      <c r="K5827" s="9"/>
      <c r="L5827" s="9"/>
      <c r="M5827" s="11"/>
      <c r="N5827" s="11"/>
      <c r="O5827" s="9"/>
      <c r="P5827" s="9"/>
      <c r="Q5827" s="9"/>
    </row>
    <row r="5828" spans="1:17" x14ac:dyDescent="0.35">
      <c r="A5828" s="9"/>
      <c r="B5828" s="9"/>
      <c r="C5828" s="9"/>
      <c r="D5828" s="9"/>
      <c r="E5828" s="10"/>
      <c r="F5828" s="100">
        <f>SUM(J5828:L5828)</f>
        <v>0</v>
      </c>
      <c r="G5828" s="100">
        <f>SUM(Table3[[#This Row],[Kim Dệt Ngày]:[Kim Khác Đêm]])</f>
        <v>0</v>
      </c>
      <c r="H5828" s="10"/>
      <c r="I5828" s="10"/>
      <c r="J5828" s="9"/>
      <c r="K5828" s="9"/>
      <c r="L5828" s="9"/>
      <c r="M5828" s="11"/>
      <c r="N5828" s="11"/>
      <c r="O5828" s="9"/>
      <c r="P5828" s="9"/>
      <c r="Q5828" s="9"/>
    </row>
    <row r="5829" spans="1:17" x14ac:dyDescent="0.35">
      <c r="A5829" s="9"/>
      <c r="B5829" s="9"/>
      <c r="C5829" s="9"/>
      <c r="D5829" s="9"/>
      <c r="E5829" s="10"/>
      <c r="F5829" s="100">
        <f>SUM(J5829:L5829)</f>
        <v>0</v>
      </c>
      <c r="G5829" s="100">
        <f>SUM(Table3[[#This Row],[Kim Dệt Ngày]:[Kim Khác Đêm]])</f>
        <v>0</v>
      </c>
      <c r="H5829" s="10"/>
      <c r="I5829" s="10"/>
      <c r="J5829" s="9"/>
      <c r="K5829" s="9"/>
      <c r="L5829" s="9"/>
      <c r="M5829" s="11"/>
      <c r="N5829" s="11"/>
      <c r="O5829" s="9"/>
      <c r="P5829" s="9"/>
      <c r="Q5829" s="9"/>
    </row>
    <row r="5830" spans="1:17" x14ac:dyDescent="0.35">
      <c r="A5830" s="9"/>
      <c r="B5830" s="9"/>
      <c r="C5830" s="9"/>
      <c r="D5830" s="9"/>
      <c r="E5830" s="10"/>
      <c r="F5830" s="100">
        <f>SUM(J5830:L5830)</f>
        <v>0</v>
      </c>
      <c r="G5830" s="100">
        <f>SUM(Table3[[#This Row],[Kim Dệt Ngày]:[Kim Khác Đêm]])</f>
        <v>0</v>
      </c>
      <c r="H5830" s="10"/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x14ac:dyDescent="0.35">
      <c r="A5831" s="9"/>
      <c r="B5831" s="9"/>
      <c r="C5831" s="9"/>
      <c r="D5831" s="9"/>
      <c r="E5831" s="10"/>
      <c r="F5831" s="100">
        <f>SUM(J5831:L5831)</f>
        <v>0</v>
      </c>
      <c r="G5831" s="100">
        <f>SUM(Table3[[#This Row],[Kim Dệt Ngày]:[Kim Khác Đêm]])</f>
        <v>0</v>
      </c>
      <c r="H5831" s="10"/>
      <c r="I5831" s="10"/>
      <c r="J5831" s="9"/>
      <c r="K5831" s="9"/>
      <c r="L5831" s="9"/>
      <c r="M5831" s="11"/>
      <c r="N5831" s="11"/>
      <c r="O5831" s="9"/>
      <c r="P5831" s="9"/>
      <c r="Q5831" s="9"/>
    </row>
    <row r="5832" spans="1:17" x14ac:dyDescent="0.35">
      <c r="A5832" s="9"/>
      <c r="B5832" s="9"/>
      <c r="C5832" s="9"/>
      <c r="D5832" s="9"/>
      <c r="E5832" s="10"/>
      <c r="F5832" s="100">
        <f>SUM(J5832:L5832)</f>
        <v>0</v>
      </c>
      <c r="G5832" s="100">
        <f>SUM(Table3[[#This Row],[Kim Dệt Ngày]:[Kim Khác Đêm]])</f>
        <v>0</v>
      </c>
      <c r="H5832" s="10"/>
      <c r="I5832" s="10"/>
      <c r="J5832" s="9"/>
      <c r="K5832" s="9"/>
      <c r="L5832" s="9"/>
      <c r="M5832" s="11"/>
      <c r="N5832" s="11"/>
      <c r="O5832" s="9"/>
      <c r="P5832" s="9"/>
      <c r="Q5832" s="9"/>
    </row>
    <row r="5833" spans="1:17" x14ac:dyDescent="0.35">
      <c r="A5833" s="9"/>
      <c r="B5833" s="9"/>
      <c r="C5833" s="9"/>
      <c r="D5833" s="9"/>
      <c r="E5833" s="10"/>
      <c r="F5833" s="100">
        <f>SUM(J5833:L5833)</f>
        <v>0</v>
      </c>
      <c r="G5833" s="100">
        <f>SUM(Table3[[#This Row],[Kim Dệt Ngày]:[Kim Khác Đêm]])</f>
        <v>0</v>
      </c>
      <c r="H5833" s="10"/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35">
      <c r="A5834" s="9"/>
      <c r="B5834" s="9"/>
      <c r="C5834" s="9"/>
      <c r="D5834" s="9"/>
      <c r="E5834" s="10"/>
      <c r="F5834" s="100">
        <f>SUM(J5834:L5834)</f>
        <v>0</v>
      </c>
      <c r="G5834" s="100">
        <f>SUM(Table3[[#This Row],[Kim Dệt Ngày]:[Kim Khác Đêm]])</f>
        <v>0</v>
      </c>
      <c r="H5834" s="10"/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35">
      <c r="A5835" s="9"/>
      <c r="B5835" s="9"/>
      <c r="C5835" s="9"/>
      <c r="D5835" s="9"/>
      <c r="E5835" s="10"/>
      <c r="F5835" s="100">
        <f>SUM(J5835:L5835)</f>
        <v>0</v>
      </c>
      <c r="G5835" s="100">
        <f>SUM(Table3[[#This Row],[Kim Dệt Ngày]:[Kim Khác Đêm]])</f>
        <v>0</v>
      </c>
      <c r="H5835" s="10"/>
      <c r="I5835" s="10"/>
      <c r="J5835" s="9"/>
      <c r="K5835" s="9"/>
      <c r="L5835" s="9"/>
      <c r="M5835" s="11"/>
      <c r="N5835" s="11"/>
      <c r="O5835" s="9"/>
      <c r="P5835" s="9"/>
      <c r="Q5835" s="9"/>
    </row>
    <row r="5836" spans="1:17" x14ac:dyDescent="0.35">
      <c r="A5836" s="9"/>
      <c r="B5836" s="9"/>
      <c r="C5836" s="9"/>
      <c r="D5836" s="9"/>
      <c r="E5836" s="10"/>
      <c r="F5836" s="100">
        <f>SUM(J5836:L5836)</f>
        <v>0</v>
      </c>
      <c r="G5836" s="100">
        <f>SUM(Table3[[#This Row],[Kim Dệt Ngày]:[Kim Khác Đêm]])</f>
        <v>0</v>
      </c>
      <c r="H5836" s="10"/>
      <c r="I5836" s="10"/>
      <c r="J5836" s="9"/>
      <c r="K5836" s="9"/>
      <c r="L5836" s="9"/>
      <c r="M5836" s="11"/>
      <c r="N5836" s="11"/>
      <c r="O5836" s="9"/>
      <c r="P5836" s="9"/>
      <c r="Q5836" s="9"/>
    </row>
    <row r="5837" spans="1:17" x14ac:dyDescent="0.35">
      <c r="A5837" s="9"/>
      <c r="B5837" s="9"/>
      <c r="C5837" s="9"/>
      <c r="D5837" s="9"/>
      <c r="E5837" s="10"/>
      <c r="F5837" s="100">
        <f>SUM(J5837:L5837)</f>
        <v>0</v>
      </c>
      <c r="G5837" s="100">
        <f>SUM(Table3[[#This Row],[Kim Dệt Ngày]:[Kim Khác Đêm]])</f>
        <v>0</v>
      </c>
      <c r="H5837" s="10"/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35">
      <c r="A5838" s="9"/>
      <c r="B5838" s="9"/>
      <c r="C5838" s="9"/>
      <c r="D5838" s="9"/>
      <c r="E5838" s="10"/>
      <c r="F5838" s="100">
        <f>SUM(J5838:L5838)</f>
        <v>0</v>
      </c>
      <c r="G5838" s="100">
        <f>SUM(Table3[[#This Row],[Kim Dệt Ngày]:[Kim Khác Đêm]])</f>
        <v>0</v>
      </c>
      <c r="H5838" s="10"/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35">
      <c r="A5839" s="9"/>
      <c r="B5839" s="9"/>
      <c r="C5839" s="9"/>
      <c r="D5839" s="9"/>
      <c r="E5839" s="10"/>
      <c r="F5839" s="100">
        <f>SUM(J5839:L5839)</f>
        <v>0</v>
      </c>
      <c r="G5839" s="100">
        <f>SUM(Table3[[#This Row],[Kim Dệt Ngày]:[Kim Khác Đêm]])</f>
        <v>0</v>
      </c>
      <c r="H5839" s="10"/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35">
      <c r="A5840" s="9"/>
      <c r="B5840" s="9"/>
      <c r="C5840" s="9"/>
      <c r="D5840" s="9"/>
      <c r="E5840" s="10"/>
      <c r="F5840" s="100">
        <f>SUM(J5840:L5840)</f>
        <v>0</v>
      </c>
      <c r="G5840" s="100">
        <f>SUM(Table3[[#This Row],[Kim Dệt Ngày]:[Kim Khác Đêm]])</f>
        <v>0</v>
      </c>
      <c r="H5840" s="10"/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35">
      <c r="A5841" s="9"/>
      <c r="B5841" s="9"/>
      <c r="C5841" s="9"/>
      <c r="D5841" s="9"/>
      <c r="E5841" s="10"/>
      <c r="F5841" s="100">
        <f>SUM(J5841:L5841)</f>
        <v>0</v>
      </c>
      <c r="G5841" s="100">
        <f>SUM(Table3[[#This Row],[Kim Dệt Ngày]:[Kim Khác Đêm]])</f>
        <v>0</v>
      </c>
      <c r="H5841" s="10"/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35">
      <c r="A5842" s="9"/>
      <c r="B5842" s="9"/>
      <c r="C5842" s="9"/>
      <c r="D5842" s="9"/>
      <c r="E5842" s="10"/>
      <c r="F5842" s="100">
        <f>SUM(J5842:L5842)</f>
        <v>0</v>
      </c>
      <c r="G5842" s="100">
        <f>SUM(Table3[[#This Row],[Kim Dệt Ngày]:[Kim Khác Đêm]])</f>
        <v>0</v>
      </c>
      <c r="H5842" s="10"/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35">
      <c r="A5843" s="9"/>
      <c r="B5843" s="9"/>
      <c r="C5843" s="9"/>
      <c r="D5843" s="9"/>
      <c r="E5843" s="10"/>
      <c r="F5843" s="100">
        <f>SUM(J5843:L5843)</f>
        <v>0</v>
      </c>
      <c r="G5843" s="100">
        <f>SUM(Table3[[#This Row],[Kim Dệt Ngày]:[Kim Khác Đêm]])</f>
        <v>0</v>
      </c>
      <c r="H5843" s="10"/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35">
      <c r="A5844" s="9"/>
      <c r="B5844" s="9"/>
      <c r="C5844" s="9"/>
      <c r="D5844" s="9"/>
      <c r="E5844" s="10"/>
      <c r="F5844" s="100">
        <f>SUM(J5844:L5844)</f>
        <v>0</v>
      </c>
      <c r="G5844" s="100">
        <f>SUM(Table3[[#This Row],[Kim Dệt Ngày]:[Kim Khác Đêm]])</f>
        <v>0</v>
      </c>
      <c r="H5844" s="10"/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35">
      <c r="A5845" s="9"/>
      <c r="B5845" s="9"/>
      <c r="C5845" s="9"/>
      <c r="D5845" s="9"/>
      <c r="E5845" s="10"/>
      <c r="F5845" s="100">
        <f>SUM(J5845:L5845)</f>
        <v>0</v>
      </c>
      <c r="G5845" s="100">
        <f>SUM(Table3[[#This Row],[Kim Dệt Ngày]:[Kim Khác Đêm]])</f>
        <v>0</v>
      </c>
      <c r="H5845" s="10"/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35">
      <c r="A5846" s="9"/>
      <c r="B5846" s="9"/>
      <c r="C5846" s="9"/>
      <c r="D5846" s="9"/>
      <c r="E5846" s="10"/>
      <c r="F5846" s="100">
        <f>SUM(J5846:L5846)</f>
        <v>0</v>
      </c>
      <c r="G5846" s="100">
        <f>SUM(Table3[[#This Row],[Kim Dệt Ngày]:[Kim Khác Đêm]])</f>
        <v>0</v>
      </c>
      <c r="H5846" s="10"/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35">
      <c r="A5847" s="9"/>
      <c r="B5847" s="9"/>
      <c r="C5847" s="9"/>
      <c r="D5847" s="9"/>
      <c r="E5847" s="10"/>
      <c r="F5847" s="100">
        <f>SUM(J5847:L5847)</f>
        <v>0</v>
      </c>
      <c r="G5847" s="100">
        <f>SUM(Table3[[#This Row],[Kim Dệt Ngày]:[Kim Khác Đêm]])</f>
        <v>0</v>
      </c>
      <c r="H5847" s="10"/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35">
      <c r="A5848" s="9"/>
      <c r="B5848" s="9"/>
      <c r="C5848" s="9"/>
      <c r="D5848" s="9"/>
      <c r="E5848" s="10"/>
      <c r="F5848" s="100">
        <f>SUM(J5848:L5848)</f>
        <v>0</v>
      </c>
      <c r="G5848" s="100">
        <f>SUM(Table3[[#This Row],[Kim Dệt Ngày]:[Kim Khác Đêm]])</f>
        <v>0</v>
      </c>
      <c r="H5848" s="10"/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35">
      <c r="A5849" s="9"/>
      <c r="B5849" s="9"/>
      <c r="C5849" s="9"/>
      <c r="D5849" s="9"/>
      <c r="E5849" s="10"/>
      <c r="F5849" s="100">
        <f>SUM(J5849:L5849)</f>
        <v>0</v>
      </c>
      <c r="G5849" s="100">
        <f>SUM(Table3[[#This Row],[Kim Dệt Ngày]:[Kim Khác Đêm]])</f>
        <v>0</v>
      </c>
      <c r="H5849" s="10"/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35">
      <c r="A5850" s="9"/>
      <c r="B5850" s="9"/>
      <c r="C5850" s="9"/>
      <c r="D5850" s="9"/>
      <c r="E5850" s="10"/>
      <c r="F5850" s="100">
        <f>SUM(J5850:L5850)</f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35">
      <c r="A5851" s="9"/>
      <c r="B5851" s="9"/>
      <c r="C5851" s="9"/>
      <c r="D5851" s="9"/>
      <c r="E5851" s="10"/>
      <c r="F5851" s="100">
        <f>SUM(J5851:L5851)</f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35">
      <c r="A5852" s="9"/>
      <c r="B5852" s="9"/>
      <c r="C5852" s="9"/>
      <c r="D5852" s="9"/>
      <c r="E5852" s="10"/>
      <c r="F5852" s="100">
        <f>SUM(J5852:L5852)</f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35">
      <c r="A5853" s="9"/>
      <c r="B5853" s="9"/>
      <c r="C5853" s="9"/>
      <c r="D5853" s="9"/>
      <c r="E5853" s="10"/>
      <c r="F5853" s="100">
        <f>SUM(J5853:L5853)</f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35">
      <c r="A5854" s="9"/>
      <c r="B5854" s="9"/>
      <c r="C5854" s="9"/>
      <c r="D5854" s="9"/>
      <c r="E5854" s="10"/>
      <c r="F5854" s="100">
        <f>SUM(J5854:L5854)</f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35">
      <c r="A5855" s="9"/>
      <c r="B5855" s="9"/>
      <c r="C5855" s="9"/>
      <c r="D5855" s="9"/>
      <c r="E5855" s="10"/>
      <c r="F5855" s="100">
        <f>SUM(J5855:L5855)</f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35">
      <c r="A5856" s="9"/>
      <c r="B5856" s="9"/>
      <c r="C5856" s="9"/>
      <c r="D5856" s="9"/>
      <c r="E5856" s="10"/>
      <c r="F5856" s="100">
        <f>SUM(J5856:L5856)</f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35">
      <c r="A5857" s="9"/>
      <c r="B5857" s="9"/>
      <c r="C5857" s="9"/>
      <c r="D5857" s="9"/>
      <c r="E5857" s="10"/>
      <c r="F5857" s="100">
        <f>SUM(J5857:L5857)</f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35">
      <c r="A5858" s="9"/>
      <c r="B5858" s="9"/>
      <c r="C5858" s="9"/>
      <c r="D5858" s="9"/>
      <c r="E5858" s="10"/>
      <c r="F5858" s="100">
        <f>SUM(J5858:L5858)</f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/>
      <c r="B5859" s="9"/>
      <c r="C5859" s="9"/>
      <c r="D5859" s="9"/>
      <c r="E5859" s="10"/>
      <c r="F5859" s="100">
        <f>SUM(J5859:L5859)</f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35">
      <c r="A5860" s="9"/>
      <c r="B5860" s="9"/>
      <c r="C5860" s="9"/>
      <c r="D5860" s="9"/>
      <c r="E5860" s="10"/>
      <c r="F5860" s="100">
        <f>SUM(J5860:L5860)</f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35">
      <c r="A5861" s="9"/>
      <c r="B5861" s="9"/>
      <c r="C5861" s="9"/>
      <c r="D5861" s="9"/>
      <c r="E5861" s="10"/>
      <c r="F5861" s="100">
        <f>SUM(J5861:L5861)</f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35">
      <c r="A5862" s="9"/>
      <c r="B5862" s="9"/>
      <c r="C5862" s="9"/>
      <c r="D5862" s="9"/>
      <c r="E5862" s="10"/>
      <c r="F5862" s="100">
        <f>SUM(J5862:L5862)</f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35">
      <c r="A5863" s="9"/>
      <c r="B5863" s="9"/>
      <c r="C5863" s="9"/>
      <c r="D5863" s="9"/>
      <c r="E5863" s="10"/>
      <c r="F5863" s="100">
        <f>SUM(J5863:L5863)</f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35">
      <c r="A5864" s="9"/>
      <c r="B5864" s="9"/>
      <c r="C5864" s="9"/>
      <c r="D5864" s="9"/>
      <c r="E5864" s="10"/>
      <c r="F5864" s="100">
        <f>SUM(J5864:L5864)</f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35">
      <c r="A5865" s="9"/>
      <c r="B5865" s="9"/>
      <c r="C5865" s="9"/>
      <c r="D5865" s="9"/>
      <c r="E5865" s="10"/>
      <c r="F5865" s="100">
        <f>SUM(J5865:L5865)</f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/>
      <c r="B5866" s="9"/>
      <c r="C5866" s="9"/>
      <c r="D5866" s="9"/>
      <c r="E5866" s="10"/>
      <c r="F5866" s="100">
        <f>SUM(J5866:L5866)</f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35">
      <c r="A5867" s="9"/>
      <c r="B5867" s="9"/>
      <c r="C5867" s="9"/>
      <c r="D5867" s="9"/>
      <c r="E5867" s="10"/>
      <c r="F5867" s="100">
        <f>SUM(J5867:L5867)</f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35">
      <c r="A5868" s="9"/>
      <c r="B5868" s="9"/>
      <c r="C5868" s="9"/>
      <c r="D5868" s="9"/>
      <c r="E5868" s="10"/>
      <c r="F5868" s="100">
        <f>SUM(J5868:L5868)</f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/>
      <c r="B5869" s="9"/>
      <c r="C5869" s="9"/>
      <c r="D5869" s="9"/>
      <c r="E5869" s="10"/>
      <c r="F5869" s="100">
        <f>SUM(J5869:L5869)</f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>SUM(J5870:L5870)</f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>SUM(J5871:L5871)</f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>SUM(J5872:L5872)</f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>SUM(J5873:L5873)</f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>SUM(J5874:L5874)</f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>SUM(J5875:L5875)</f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>SUM(J5876:L5876)</f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>SUM(J5877:L5877)</f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>SUM(J5878:L5878)</f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>SUM(J5879:L5879)</f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30" t="s">
        <v>153</v>
      </c>
      <c r="C15" s="331"/>
      <c r="D15" s="331"/>
      <c r="E15" s="332"/>
      <c r="F15" s="19" t="s">
        <v>154</v>
      </c>
      <c r="G15" s="19" t="s">
        <v>155</v>
      </c>
      <c r="H15" s="19" t="s">
        <v>10</v>
      </c>
      <c r="I15" s="20" t="s">
        <v>15</v>
      </c>
      <c r="J15" s="331" t="s">
        <v>156</v>
      </c>
      <c r="K15" s="332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2210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2194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2333</v>
      </c>
      <c r="J1" t="s">
        <v>2406</v>
      </c>
      <c r="M1" t="s">
        <v>2408</v>
      </c>
      <c r="P1" t="s">
        <v>2407</v>
      </c>
    </row>
    <row r="2" spans="1:23" x14ac:dyDescent="0.35">
      <c r="A2" t="s">
        <v>2335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2411</v>
      </c>
      <c r="U2" t="s">
        <v>8</v>
      </c>
      <c r="V2" t="s">
        <v>2412</v>
      </c>
      <c r="W2" t="s">
        <v>10</v>
      </c>
    </row>
    <row r="3" spans="1:23" x14ac:dyDescent="0.35">
      <c r="I3" s="9" t="s">
        <v>2409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2410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2413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2573</v>
      </c>
      <c r="B13" s="13" t="s">
        <v>2321</v>
      </c>
      <c r="C13" s="13" t="s">
        <v>168</v>
      </c>
      <c r="D13" s="13" t="s">
        <v>2323</v>
      </c>
      <c r="E13" s="13" t="s">
        <v>167</v>
      </c>
      <c r="F13" s="13" t="s">
        <v>166</v>
      </c>
      <c r="G13" s="13" t="s">
        <v>2442</v>
      </c>
      <c r="J13" s="305" t="s">
        <v>168</v>
      </c>
      <c r="L13" t="s">
        <v>167</v>
      </c>
      <c r="M13" t="s">
        <v>2464</v>
      </c>
      <c r="P13" t="s">
        <v>166</v>
      </c>
      <c r="R13" t="s">
        <v>2321</v>
      </c>
    </row>
    <row r="14" spans="1:23" x14ac:dyDescent="0.35">
      <c r="A14" s="9" t="s">
        <v>2328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2325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2326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2327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2443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2334</v>
      </c>
      <c r="B24" s="9" t="s">
        <v>2329</v>
      </c>
      <c r="C24" s="9" t="s">
        <v>2330</v>
      </c>
      <c r="D24" s="9" t="s">
        <v>2331</v>
      </c>
      <c r="E24" s="9" t="s">
        <v>2330</v>
      </c>
      <c r="F24" s="9" t="s">
        <v>2329</v>
      </c>
      <c r="G24" s="9"/>
    </row>
    <row r="25" spans="1:7" x14ac:dyDescent="0.35">
      <c r="A25" s="294" t="s">
        <v>2340</v>
      </c>
      <c r="B25" s="295" t="s">
        <v>2233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2341</v>
      </c>
      <c r="B27" s="13" t="s">
        <v>2321</v>
      </c>
      <c r="C27" s="13" t="s">
        <v>168</v>
      </c>
      <c r="D27" s="13" t="s">
        <v>2323</v>
      </c>
      <c r="E27" s="13" t="s">
        <v>167</v>
      </c>
      <c r="F27" s="13" t="s">
        <v>166</v>
      </c>
      <c r="G27" s="13" t="s">
        <v>2442</v>
      </c>
    </row>
    <row r="28" spans="1:7" x14ac:dyDescent="0.35">
      <c r="A28" s="9" t="s">
        <v>2328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2325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2326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2327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2443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2334</v>
      </c>
      <c r="B38" s="9" t="s">
        <v>2329</v>
      </c>
      <c r="C38" s="9" t="s">
        <v>2330</v>
      </c>
      <c r="D38" s="9" t="s">
        <v>2331</v>
      </c>
      <c r="E38" s="9" t="s">
        <v>2330</v>
      </c>
      <c r="F38" s="9" t="s">
        <v>2329</v>
      </c>
      <c r="G38" s="9"/>
    </row>
    <row r="39" spans="1:7" x14ac:dyDescent="0.35">
      <c r="A39" s="294" t="s">
        <v>2340</v>
      </c>
      <c r="B39" s="295" t="s">
        <v>2233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2324</v>
      </c>
      <c r="B41" s="13" t="s">
        <v>2321</v>
      </c>
      <c r="C41" s="13" t="s">
        <v>2323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2328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2325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2326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2327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2322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2334</v>
      </c>
      <c r="B52" s="9" t="s">
        <v>2329</v>
      </c>
      <c r="C52" s="9" t="s">
        <v>2331</v>
      </c>
      <c r="D52" s="9" t="s">
        <v>2330</v>
      </c>
      <c r="E52" s="9" t="s">
        <v>2330</v>
      </c>
      <c r="F52" s="9" t="s">
        <v>2329</v>
      </c>
      <c r="G52" s="9"/>
    </row>
    <row r="53" spans="1:7" x14ac:dyDescent="0.35">
      <c r="A53" s="294" t="s">
        <v>2340</v>
      </c>
      <c r="B53" s="295" t="s">
        <v>2233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3" t="s">
        <v>173</v>
      </c>
      <c r="B1" s="333"/>
      <c r="C1" s="333" t="s">
        <v>174</v>
      </c>
      <c r="D1" s="333"/>
      <c r="E1" s="9"/>
      <c r="F1" s="281"/>
      <c r="G1" s="37"/>
      <c r="H1" s="9"/>
      <c r="I1" s="9"/>
      <c r="J1" s="9"/>
      <c r="K1" s="13"/>
      <c r="L1" s="13" t="s">
        <v>2235</v>
      </c>
      <c r="AH1" t="s">
        <v>170</v>
      </c>
      <c r="AP1" t="s">
        <v>171</v>
      </c>
      <c r="AQ1" s="334">
        <f ca="1">TODAY()</f>
        <v>44760</v>
      </c>
      <c r="AR1" s="334"/>
      <c r="AS1" s="334"/>
    </row>
    <row r="2" spans="1:45" x14ac:dyDescent="0.35">
      <c r="A2" s="279" t="s">
        <v>2233</v>
      </c>
      <c r="B2" s="279" t="s">
        <v>2234</v>
      </c>
      <c r="C2" s="279" t="s">
        <v>2233</v>
      </c>
      <c r="D2" s="279" t="s">
        <v>2234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2230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2202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2182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2226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2226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2230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2080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2080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3" t="s">
        <v>173</v>
      </c>
      <c r="B22" s="333"/>
      <c r="C22" s="333" t="s">
        <v>174</v>
      </c>
      <c r="D22" s="333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2233</v>
      </c>
      <c r="B23" s="41" t="s">
        <v>2234</v>
      </c>
      <c r="C23" s="41" t="s">
        <v>2233</v>
      </c>
      <c r="D23" s="41" t="s">
        <v>2234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2224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2113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2080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3" t="s">
        <v>173</v>
      </c>
      <c r="B45" s="333"/>
      <c r="C45" s="333" t="s">
        <v>174</v>
      </c>
      <c r="D45" s="333"/>
      <c r="E45" s="35"/>
      <c r="F45" s="9"/>
      <c r="G45" s="9"/>
      <c r="H45" s="9"/>
      <c r="I45" s="9"/>
      <c r="J45" s="9"/>
      <c r="K45" s="13"/>
      <c r="L45" s="13" t="s">
        <v>2235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2233</v>
      </c>
      <c r="B46" s="41" t="s">
        <v>2234</v>
      </c>
      <c r="C46" s="41" t="s">
        <v>2233</v>
      </c>
      <c r="D46" s="41" t="s">
        <v>2234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2220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2243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5" t="s">
        <v>187</v>
      </c>
      <c r="AI55" s="336"/>
      <c r="AJ55" s="336"/>
      <c r="AK55" s="336"/>
      <c r="AL55" s="336"/>
      <c r="AM55" s="336"/>
      <c r="AN55" s="336"/>
      <c r="AO55" s="336"/>
      <c r="AP55" s="336"/>
      <c r="AQ55" s="336"/>
      <c r="AR55" s="336"/>
      <c r="AS55" s="336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2220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6" t="s">
        <v>188</v>
      </c>
      <c r="AK56" s="336"/>
      <c r="AL56" s="336"/>
      <c r="AM56" s="336"/>
      <c r="AN56" s="336"/>
      <c r="AO56" s="336"/>
      <c r="AP56" s="336"/>
      <c r="AQ56" s="336"/>
      <c r="AR56" s="336"/>
      <c r="AS56" s="336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2240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2213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3" t="s">
        <v>173</v>
      </c>
      <c r="B69" s="333"/>
      <c r="C69" s="333" t="s">
        <v>174</v>
      </c>
      <c r="D69" s="333"/>
      <c r="E69" s="35"/>
      <c r="F69" s="9"/>
      <c r="G69" s="49"/>
      <c r="H69" s="9"/>
      <c r="I69" s="9"/>
      <c r="J69" s="9"/>
      <c r="K69" s="13"/>
      <c r="L69" s="13"/>
      <c r="P69" s="252" t="s">
        <v>2213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2233</v>
      </c>
      <c r="B70" s="41" t="s">
        <v>2234</v>
      </c>
      <c r="C70" s="41" t="s">
        <v>2233</v>
      </c>
      <c r="D70" s="41" t="s">
        <v>2234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2231</v>
      </c>
      <c r="Q70" s="271" t="s">
        <v>2230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2227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2227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2169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2169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2169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2180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2183</v>
      </c>
      <c r="Q77" s="97" t="s">
        <v>2182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2165</v>
      </c>
      <c r="Q78" s="97" t="s">
        <v>2113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2129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2232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2232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2176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2211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2184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2201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2200</v>
      </c>
      <c r="Q86" s="97" t="s">
        <v>2080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2228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2228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2172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2172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2172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2188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2188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2203</v>
      </c>
      <c r="Q94" s="97" t="s">
        <v>2202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2168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2145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2212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2212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2229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2229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2187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2221</v>
      </c>
      <c r="Q102" s="252" t="s">
        <v>2222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2221</v>
      </c>
      <c r="Q103" s="252" t="s">
        <v>2222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2225</v>
      </c>
      <c r="Q104" s="97" t="s">
        <v>2226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44760</v>
      </c>
      <c r="P105" s="252" t="s">
        <v>2225</v>
      </c>
      <c r="Q105" s="97" t="s">
        <v>2226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2223</v>
      </c>
      <c r="Q106" s="97" t="s">
        <v>2224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2223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2241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2242</v>
      </c>
      <c r="Q109" s="97" t="s">
        <v>2240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2223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2225</v>
      </c>
      <c r="Q111" s="97" t="s">
        <v>2226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2232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2221</v>
      </c>
      <c r="Q113" s="252" t="s">
        <v>2222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2221</v>
      </c>
      <c r="Q114" s="252" t="s">
        <v>2222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2192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2192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2218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tabSelected="1" zoomScaleNormal="100" workbookViewId="0">
      <selection activeCell="G3" sqref="G3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44760</v>
      </c>
      <c r="AF1" t="s">
        <v>170</v>
      </c>
      <c r="AN1" t="s">
        <v>171</v>
      </c>
      <c r="AO1" s="334">
        <f ca="1">TODAY()</f>
        <v>44760</v>
      </c>
      <c r="AP1" s="334"/>
      <c r="AQ1" s="334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984</v>
      </c>
      <c r="H3" s="42">
        <f t="array" ref="H3">INDEX(O:T,MATCH(1,(B3=O:O)*(C3=R:R),0),5)</f>
        <v>600</v>
      </c>
      <c r="I3" s="42"/>
      <c r="J3" s="9"/>
      <c r="L3" s="97" t="s">
        <v>16</v>
      </c>
      <c r="M3" s="252" t="s">
        <v>1070</v>
      </c>
      <c r="N3" s="97" t="s">
        <v>18</v>
      </c>
      <c r="O3" s="97"/>
      <c r="P3" s="98">
        <v>44749</v>
      </c>
      <c r="Q3" s="147">
        <v>564</v>
      </c>
      <c r="R3" s="147">
        <v>0</v>
      </c>
      <c r="S3" s="98">
        <v>44750</v>
      </c>
      <c r="T3" s="98"/>
      <c r="U3" s="97">
        <v>408</v>
      </c>
      <c r="V3" s="97"/>
      <c r="W3" s="97">
        <v>156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Đỏ gót đen</v>
      </c>
      <c r="D4" s="9"/>
      <c r="E4" s="9"/>
      <c r="F4" s="9"/>
      <c r="G4" s="42">
        <f t="array" ref="G4">INDEX(O:T,MATCH(1,(B4=O:O)*(C4=R:R),0),6)</f>
        <v>264</v>
      </c>
      <c r="H4" s="42">
        <f t="array" ref="H4">INDEX(O:T,MATCH(1,(B4=O:O)*(C4=R:R),0),5)</f>
        <v>300</v>
      </c>
      <c r="I4" s="42"/>
      <c r="J4" s="9"/>
      <c r="L4" s="97" t="s">
        <v>19</v>
      </c>
      <c r="M4" s="97" t="s">
        <v>2156</v>
      </c>
      <c r="N4" s="252" t="s">
        <v>2624</v>
      </c>
      <c r="O4" s="97"/>
      <c r="P4" s="98">
        <v>44735</v>
      </c>
      <c r="Q4" s="147">
        <v>264</v>
      </c>
      <c r="R4" s="147">
        <v>0</v>
      </c>
      <c r="S4" s="98">
        <v>44757</v>
      </c>
      <c r="T4" s="98"/>
      <c r="U4" s="97">
        <v>120</v>
      </c>
      <c r="V4" s="97"/>
      <c r="W4" s="97">
        <v>144</v>
      </c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Adadas Hài Ngang</v>
      </c>
      <c r="C5" s="9" t="str">
        <f t="shared" si="0"/>
        <v>Đen</v>
      </c>
      <c r="D5" s="9"/>
      <c r="E5" s="9"/>
      <c r="F5" s="9"/>
      <c r="G5" s="42">
        <f t="array" ref="G5">INDEX(O:T,MATCH(1,(B5=O:O)*(C5=R:R),0),6)</f>
        <v>300</v>
      </c>
      <c r="H5" s="42">
        <f t="array" ref="H5">INDEX(O:T,MATCH(1,(B5=O:O)*(C5=R:R),0),5)</f>
        <v>360</v>
      </c>
      <c r="I5" s="42"/>
      <c r="J5" s="9"/>
      <c r="L5" s="97" t="s">
        <v>21</v>
      </c>
      <c r="M5" s="97" t="s">
        <v>1687</v>
      </c>
      <c r="N5" s="97" t="s">
        <v>18</v>
      </c>
      <c r="O5" s="97"/>
      <c r="P5" s="98">
        <v>44755</v>
      </c>
      <c r="Q5" s="147">
        <v>300</v>
      </c>
      <c r="R5" s="147">
        <v>0</v>
      </c>
      <c r="S5" s="98">
        <v>44756</v>
      </c>
      <c r="T5" s="98"/>
      <c r="U5" s="97">
        <v>84</v>
      </c>
      <c r="V5" s="97"/>
      <c r="W5" s="97">
        <v>216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Xám</v>
      </c>
      <c r="D6" s="9"/>
      <c r="E6" s="9"/>
      <c r="F6" s="9"/>
      <c r="G6" s="42">
        <f t="array" ref="G6">INDEX(O:T,MATCH(1,(B6=O:O)*(C6=R:R),0),6)</f>
        <v>504</v>
      </c>
      <c r="H6" s="42">
        <f t="array" ref="H6">INDEX(O:T,MATCH(1,(B6=O:O)*(C6=R:R),0),5)</f>
        <v>240</v>
      </c>
      <c r="I6" s="42"/>
      <c r="J6" s="9"/>
      <c r="L6" s="97" t="s">
        <v>23</v>
      </c>
      <c r="M6" s="97" t="s">
        <v>1421</v>
      </c>
      <c r="N6" s="97" t="s">
        <v>39</v>
      </c>
      <c r="O6" s="97"/>
      <c r="P6" s="98">
        <v>44742</v>
      </c>
      <c r="Q6" s="147">
        <v>72</v>
      </c>
      <c r="R6" s="147">
        <v>0</v>
      </c>
      <c r="S6" s="98">
        <v>44758</v>
      </c>
      <c r="T6" s="98"/>
      <c r="U6" s="97"/>
      <c r="V6" s="97"/>
      <c r="W6" s="97">
        <v>72</v>
      </c>
      <c r="X6" s="99"/>
      <c r="Y6" s="99"/>
      <c r="Z6" s="97"/>
      <c r="AA6" s="97"/>
      <c r="AB6" s="97"/>
      <c r="AF6" s="9" t="s">
        <v>21</v>
      </c>
      <c r="AG6" s="9" t="str">
        <f t="shared" si="2"/>
        <v>Adadas Hài Ngang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480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44749</v>
      </c>
      <c r="Q7" s="147">
        <v>480</v>
      </c>
      <c r="R7" s="147">
        <v>0</v>
      </c>
      <c r="S7" s="98">
        <v>44750</v>
      </c>
      <c r="T7" s="98"/>
      <c r="U7" s="97">
        <v>264</v>
      </c>
      <c r="V7" s="97"/>
      <c r="W7" s="97">
        <v>216</v>
      </c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Tommy Hài</v>
      </c>
      <c r="C8" s="9" t="str">
        <f t="shared" si="0"/>
        <v>Xám đậm</v>
      </c>
      <c r="D8" s="9"/>
      <c r="E8" s="9"/>
      <c r="F8" s="9"/>
      <c r="G8" s="42">
        <f t="array" ref="G8">INDEX(O:T,MATCH(1,(B8=O:O)*(C8=R:R),0),6)</f>
        <v>312</v>
      </c>
      <c r="H8" s="42">
        <f t="array" ref="H8">INDEX(O:T,MATCH(1,(B8=O:O)*(C8=R:R),0),5)</f>
        <v>360</v>
      </c>
      <c r="I8" s="42"/>
      <c r="J8" s="9"/>
      <c r="L8" s="97" t="s">
        <v>29</v>
      </c>
      <c r="M8" s="97" t="s">
        <v>24</v>
      </c>
      <c r="N8" s="97" t="s">
        <v>25</v>
      </c>
      <c r="O8" s="97"/>
      <c r="P8" s="98">
        <v>44756</v>
      </c>
      <c r="Q8" s="147">
        <v>312</v>
      </c>
      <c r="R8" s="147">
        <v>0</v>
      </c>
      <c r="S8" s="98">
        <v>44757</v>
      </c>
      <c r="T8" s="98"/>
      <c r="U8" s="97">
        <v>132</v>
      </c>
      <c r="V8" s="97"/>
      <c r="W8" s="97">
        <v>180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NC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852</v>
      </c>
      <c r="H9" s="42">
        <f t="array" ref="H9">INDEX(O:T,MATCH(1,(B9=O:O)*(C9=R:R),0),5)</f>
        <v>600</v>
      </c>
      <c r="I9" s="42"/>
      <c r="J9" s="9"/>
      <c r="L9" s="97" t="s">
        <v>31</v>
      </c>
      <c r="M9" s="97" t="s">
        <v>234</v>
      </c>
      <c r="N9" s="97" t="s">
        <v>28</v>
      </c>
      <c r="O9" s="97"/>
      <c r="P9" s="98">
        <v>44754</v>
      </c>
      <c r="Q9" s="147">
        <v>852</v>
      </c>
      <c r="R9" s="147">
        <v>0</v>
      </c>
      <c r="S9" s="98">
        <v>44754</v>
      </c>
      <c r="T9" s="98"/>
      <c r="U9" s="97">
        <v>396</v>
      </c>
      <c r="V9" s="97"/>
      <c r="W9" s="97">
        <v>456</v>
      </c>
      <c r="X9" s="99"/>
      <c r="Y9" s="99"/>
      <c r="Z9" s="97"/>
      <c r="AA9" s="97"/>
      <c r="AB9" s="97"/>
      <c r="AF9" s="9" t="s">
        <v>29</v>
      </c>
      <c r="AG9" s="9" t="str">
        <f t="shared" si="2"/>
        <v>Tommy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660</v>
      </c>
      <c r="H10" s="42">
        <f t="array" ref="H10">INDEX(O:T,MATCH(1,(B10=O:O)*(C10=R:R),0),5)</f>
        <v>240</v>
      </c>
      <c r="I10" s="42"/>
      <c r="J10" s="9"/>
      <c r="L10" s="97" t="s">
        <v>33</v>
      </c>
      <c r="M10" s="97" t="s">
        <v>2603</v>
      </c>
      <c r="N10" s="97" t="s">
        <v>39</v>
      </c>
      <c r="O10" s="97"/>
      <c r="P10" s="98">
        <v>44754</v>
      </c>
      <c r="Q10" s="147">
        <v>660</v>
      </c>
      <c r="R10" s="147">
        <v>0</v>
      </c>
      <c r="S10" s="98">
        <v>44755</v>
      </c>
      <c r="T10" s="98"/>
      <c r="U10" s="97">
        <v>300</v>
      </c>
      <c r="V10" s="97"/>
      <c r="W10" s="97">
        <v>360</v>
      </c>
      <c r="X10" s="99"/>
      <c r="Y10" s="99"/>
      <c r="Z10" s="97"/>
      <c r="AA10" s="97"/>
      <c r="AB10" s="97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624</v>
      </c>
      <c r="H11" s="42">
        <f t="array" ref="H11">INDEX(O:T,MATCH(1,(B11=O:O)*(C11=R:R),0),5)</f>
        <v>360</v>
      </c>
      <c r="I11" s="42"/>
      <c r="J11" s="9"/>
      <c r="L11" s="97" t="s">
        <v>35</v>
      </c>
      <c r="M11" s="97" t="s">
        <v>2603</v>
      </c>
      <c r="N11" s="97" t="s">
        <v>18</v>
      </c>
      <c r="O11" s="97"/>
      <c r="P11" s="98">
        <v>44754</v>
      </c>
      <c r="Q11" s="147">
        <v>624</v>
      </c>
      <c r="R11" s="147">
        <v>0</v>
      </c>
      <c r="S11" s="98">
        <v>44755</v>
      </c>
      <c r="T11" s="98"/>
      <c r="U11" s="97">
        <v>312</v>
      </c>
      <c r="V11" s="97"/>
      <c r="W11" s="97">
        <v>312</v>
      </c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Xám</v>
      </c>
      <c r="D12" s="9"/>
      <c r="E12" s="9"/>
      <c r="F12" s="9"/>
      <c r="G12" s="42">
        <f t="array" ref="G12">INDEX(O:T,MATCH(1,(B12=O:O)*(C12=R:R),0),6)</f>
        <v>324</v>
      </c>
      <c r="H12" s="42">
        <f t="array" ref="H12">INDEX(O:T,MATCH(1,(B12=O:O)*(C12=R:R),0),5)</f>
        <v>240</v>
      </c>
      <c r="I12" s="42"/>
      <c r="J12" s="9"/>
      <c r="L12" s="97" t="s">
        <v>37</v>
      </c>
      <c r="M12" s="97" t="s">
        <v>30</v>
      </c>
      <c r="N12" s="97" t="s">
        <v>39</v>
      </c>
      <c r="O12" s="97"/>
      <c r="P12" s="98">
        <v>44756</v>
      </c>
      <c r="Q12" s="147">
        <v>324</v>
      </c>
      <c r="R12" s="147">
        <v>0</v>
      </c>
      <c r="S12" s="98">
        <v>44757</v>
      </c>
      <c r="T12" s="273"/>
      <c r="U12" s="271">
        <v>144</v>
      </c>
      <c r="V12" s="271"/>
      <c r="W12" s="271">
        <v>180</v>
      </c>
      <c r="X12" s="327"/>
      <c r="Y12" s="327"/>
      <c r="Z12" s="271"/>
      <c r="AA12" s="271"/>
      <c r="AB12" s="271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Adadas Hài bẹt</v>
      </c>
      <c r="C13" s="9" t="str">
        <f t="shared" si="0"/>
        <v>Xám đậm</v>
      </c>
      <c r="D13" s="9"/>
      <c r="E13" s="9"/>
      <c r="F13" s="9"/>
      <c r="G13" s="42">
        <f t="array" ref="G13">INDEX(O:T,MATCH(1,(B13=O:O)*(C13=R:R),0),6)</f>
        <v>144</v>
      </c>
      <c r="H13" s="42">
        <f t="array" ref="H13">INDEX(O:T,MATCH(1,(B13=O:O)*(C13=R:R),0),5)</f>
        <v>360</v>
      </c>
      <c r="I13" s="42"/>
      <c r="J13" s="9"/>
      <c r="L13" s="97" t="s">
        <v>38</v>
      </c>
      <c r="M13" s="97" t="s">
        <v>1596</v>
      </c>
      <c r="N13" s="97" t="s">
        <v>25</v>
      </c>
      <c r="O13" s="97"/>
      <c r="P13" s="98">
        <v>44755</v>
      </c>
      <c r="Q13" s="147">
        <v>144</v>
      </c>
      <c r="R13" s="147">
        <v>0</v>
      </c>
      <c r="S13" s="98">
        <v>44758</v>
      </c>
      <c r="T13" s="98"/>
      <c r="U13" s="97">
        <v>60</v>
      </c>
      <c r="V13" s="97"/>
      <c r="W13" s="97">
        <v>84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Nice Hài bẹt</v>
      </c>
      <c r="C14" s="9" t="str">
        <f t="shared" si="0"/>
        <v>Trắng</v>
      </c>
      <c r="D14" s="9"/>
      <c r="E14" s="9"/>
      <c r="F14" s="9"/>
      <c r="G14" s="42">
        <f t="array" ref="G14">INDEX(O:T,MATCH(1,(B14=O:O)*(C14=R:R),0),6)</f>
        <v>204</v>
      </c>
      <c r="H14" s="42">
        <f t="array" ref="H14">INDEX(O:T,MATCH(1,(B14=O:O)*(C14=R:R),0),5)</f>
        <v>240</v>
      </c>
      <c r="I14" s="42"/>
      <c r="J14" s="9"/>
      <c r="L14" s="97" t="s">
        <v>40</v>
      </c>
      <c r="M14" s="97" t="s">
        <v>1601</v>
      </c>
      <c r="N14" s="97" t="s">
        <v>28</v>
      </c>
      <c r="O14" s="97"/>
      <c r="P14" s="98">
        <v>44741</v>
      </c>
      <c r="Q14" s="147">
        <v>204</v>
      </c>
      <c r="R14" s="147">
        <v>0</v>
      </c>
      <c r="S14" s="98">
        <v>44750</v>
      </c>
      <c r="T14" s="98"/>
      <c r="U14" s="97">
        <v>132</v>
      </c>
      <c r="V14" s="97"/>
      <c r="W14" s="97">
        <v>72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42</v>
      </c>
      <c r="M15" s="252" t="s">
        <v>1071</v>
      </c>
      <c r="N15" s="97" t="s">
        <v>18</v>
      </c>
      <c r="O15" s="97"/>
      <c r="P15" s="98">
        <v>44749</v>
      </c>
      <c r="Q15" s="147">
        <v>624</v>
      </c>
      <c r="R15" s="147">
        <v>0</v>
      </c>
      <c r="S15" s="98">
        <v>44743</v>
      </c>
      <c r="T15" s="98"/>
      <c r="U15" s="97">
        <v>432</v>
      </c>
      <c r="V15" s="97"/>
      <c r="W15" s="97">
        <v>192</v>
      </c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43</v>
      </c>
      <c r="M16" s="97" t="s">
        <v>582</v>
      </c>
      <c r="N16" s="97" t="s">
        <v>28</v>
      </c>
      <c r="O16" s="97"/>
      <c r="P16" s="98">
        <v>44753</v>
      </c>
      <c r="Q16" s="147">
        <v>648</v>
      </c>
      <c r="R16" s="147">
        <v>0</v>
      </c>
      <c r="S16" s="98">
        <v>44754</v>
      </c>
      <c r="T16" s="98"/>
      <c r="U16" s="97">
        <v>396</v>
      </c>
      <c r="V16" s="97"/>
      <c r="W16" s="97">
        <v>252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44</v>
      </c>
      <c r="M17" s="97" t="s">
        <v>2080</v>
      </c>
      <c r="N17" s="97" t="s">
        <v>39</v>
      </c>
      <c r="O17" s="97"/>
      <c r="P17" s="98">
        <v>44755</v>
      </c>
      <c r="Q17" s="147">
        <v>372</v>
      </c>
      <c r="R17" s="147">
        <v>0</v>
      </c>
      <c r="S17" s="98">
        <v>44756</v>
      </c>
      <c r="T17" s="98"/>
      <c r="U17" s="97">
        <v>180</v>
      </c>
      <c r="V17" s="97"/>
      <c r="W17" s="97">
        <v>192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45</v>
      </c>
      <c r="M18" s="97" t="s">
        <v>2080</v>
      </c>
      <c r="N18" s="97" t="s">
        <v>28</v>
      </c>
      <c r="O18" s="97"/>
      <c r="P18" s="98">
        <v>44755</v>
      </c>
      <c r="Q18" s="147">
        <v>312</v>
      </c>
      <c r="R18" s="147">
        <v>0</v>
      </c>
      <c r="S18" s="98">
        <v>44756</v>
      </c>
      <c r="T18" s="98"/>
      <c r="U18" s="97">
        <v>120</v>
      </c>
      <c r="V18" s="97"/>
      <c r="W18" s="97">
        <v>192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46</v>
      </c>
      <c r="M19" s="97" t="s">
        <v>772</v>
      </c>
      <c r="N19" s="97" t="s">
        <v>28</v>
      </c>
      <c r="O19" s="97"/>
      <c r="P19" s="98">
        <v>44753</v>
      </c>
      <c r="Q19" s="147">
        <v>792</v>
      </c>
      <c r="R19" s="147">
        <v>0</v>
      </c>
      <c r="S19" s="98">
        <v>44754</v>
      </c>
      <c r="T19" s="98"/>
      <c r="U19" s="97">
        <v>372</v>
      </c>
      <c r="V19" s="97"/>
      <c r="W19" s="97">
        <v>420</v>
      </c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48</v>
      </c>
      <c r="M20" s="97" t="s">
        <v>2080</v>
      </c>
      <c r="N20" s="97" t="s">
        <v>39</v>
      </c>
      <c r="O20" s="97"/>
      <c r="P20" s="98">
        <v>44755</v>
      </c>
      <c r="Q20" s="147">
        <v>252</v>
      </c>
      <c r="R20" s="147">
        <v>0</v>
      </c>
      <c r="S20" s="98">
        <v>44756</v>
      </c>
      <c r="T20" s="98"/>
      <c r="U20" s="97">
        <v>120</v>
      </c>
      <c r="V20" s="97"/>
      <c r="W20" s="97">
        <v>132</v>
      </c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49</v>
      </c>
      <c r="M21" s="97" t="s">
        <v>1510</v>
      </c>
      <c r="N21" s="97" t="s">
        <v>39</v>
      </c>
      <c r="O21" s="97"/>
      <c r="P21" s="98">
        <v>44754</v>
      </c>
      <c r="Q21" s="147">
        <v>312</v>
      </c>
      <c r="R21" s="147">
        <v>0</v>
      </c>
      <c r="S21" s="98">
        <v>44755</v>
      </c>
      <c r="T21" s="98"/>
      <c r="U21" s="97">
        <v>120</v>
      </c>
      <c r="V21" s="97"/>
      <c r="W21" s="97">
        <v>192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97" t="s">
        <v>1510</v>
      </c>
      <c r="N22" s="97" t="s">
        <v>18</v>
      </c>
      <c r="O22" s="97"/>
      <c r="P22" s="98">
        <v>44754</v>
      </c>
      <c r="Q22" s="147">
        <v>108</v>
      </c>
      <c r="R22" s="147">
        <v>0</v>
      </c>
      <c r="S22" s="98">
        <v>44758</v>
      </c>
      <c r="T22" s="98"/>
      <c r="U22" s="97">
        <v>36</v>
      </c>
      <c r="V22" s="97"/>
      <c r="W22" s="97">
        <v>72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53</v>
      </c>
      <c r="M23" s="97" t="s">
        <v>1442</v>
      </c>
      <c r="N23" s="97" t="s">
        <v>18</v>
      </c>
      <c r="O23" s="97"/>
      <c r="P23" s="98">
        <v>44754</v>
      </c>
      <c r="Q23" s="147">
        <v>540</v>
      </c>
      <c r="R23" s="147">
        <v>0</v>
      </c>
      <c r="S23" s="98">
        <v>44755</v>
      </c>
      <c r="T23" s="98"/>
      <c r="U23" s="97">
        <v>240</v>
      </c>
      <c r="V23" s="97"/>
      <c r="W23" s="97">
        <v>300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55</v>
      </c>
      <c r="M24" s="97" t="s">
        <v>1442</v>
      </c>
      <c r="N24" s="97" t="s">
        <v>25</v>
      </c>
      <c r="O24" s="97"/>
      <c r="P24" s="98">
        <v>44754</v>
      </c>
      <c r="Q24" s="147">
        <v>324</v>
      </c>
      <c r="R24" s="147">
        <v>0</v>
      </c>
      <c r="S24" s="98">
        <v>44755</v>
      </c>
      <c r="T24" s="98"/>
      <c r="U24" s="97">
        <v>144</v>
      </c>
      <c r="V24" s="97"/>
      <c r="W24" s="97">
        <v>180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56</v>
      </c>
      <c r="M25" s="97" t="s">
        <v>2243</v>
      </c>
      <c r="N25" s="97" t="s">
        <v>28</v>
      </c>
      <c r="O25" s="97"/>
      <c r="P25" s="98">
        <v>44754</v>
      </c>
      <c r="Q25" s="147">
        <v>456</v>
      </c>
      <c r="R25" s="147">
        <v>0</v>
      </c>
      <c r="S25" s="98">
        <v>44755</v>
      </c>
      <c r="T25" s="98"/>
      <c r="U25" s="97">
        <v>216</v>
      </c>
      <c r="V25" s="97"/>
      <c r="W25" s="97">
        <v>240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57</v>
      </c>
      <c r="M26" s="97" t="s">
        <v>2243</v>
      </c>
      <c r="N26" s="97" t="s">
        <v>25</v>
      </c>
      <c r="O26" s="97"/>
      <c r="P26" s="98">
        <v>44754</v>
      </c>
      <c r="Q26" s="147">
        <v>492</v>
      </c>
      <c r="R26" s="147">
        <v>0</v>
      </c>
      <c r="S26" s="98">
        <v>44755</v>
      </c>
      <c r="T26" s="98"/>
      <c r="U26" s="97">
        <v>228</v>
      </c>
      <c r="V26" s="97"/>
      <c r="W26" s="97">
        <v>264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58</v>
      </c>
      <c r="M27" s="97" t="s">
        <v>30</v>
      </c>
      <c r="N27" s="97" t="s">
        <v>28</v>
      </c>
      <c r="O27" s="97"/>
      <c r="P27" s="98">
        <v>44756</v>
      </c>
      <c r="Q27" s="147">
        <v>240</v>
      </c>
      <c r="R27" s="147">
        <v>0</v>
      </c>
      <c r="S27" s="98">
        <v>44757</v>
      </c>
      <c r="T27" s="98"/>
      <c r="U27" s="97">
        <v>108</v>
      </c>
      <c r="V27" s="97"/>
      <c r="W27" s="97">
        <v>132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900</v>
      </c>
      <c r="H28" s="42">
        <f t="array" ref="H28">INDEX(O:T,MATCH(1,(B28=O:O)*(C28=R:R),0),5)</f>
        <v>600</v>
      </c>
      <c r="I28" s="42"/>
      <c r="J28" s="9"/>
      <c r="L28" s="97" t="s">
        <v>60</v>
      </c>
      <c r="M28" s="97" t="s">
        <v>2243</v>
      </c>
      <c r="N28" s="97" t="s">
        <v>18</v>
      </c>
      <c r="O28" s="97"/>
      <c r="P28" s="98">
        <v>44754</v>
      </c>
      <c r="Q28" s="147">
        <v>444</v>
      </c>
      <c r="R28" s="147">
        <v>0</v>
      </c>
      <c r="S28" s="98">
        <v>44755</v>
      </c>
      <c r="T28" s="98"/>
      <c r="U28" s="97">
        <v>204</v>
      </c>
      <c r="V28" s="97"/>
      <c r="W28" s="97">
        <v>240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648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2766</v>
      </c>
      <c r="N29" s="97" t="s">
        <v>18</v>
      </c>
      <c r="O29" s="97"/>
      <c r="P29" s="98">
        <v>44736</v>
      </c>
      <c r="Q29" s="147">
        <v>84</v>
      </c>
      <c r="R29" s="147">
        <v>0</v>
      </c>
      <c r="S29" s="98">
        <v>44757</v>
      </c>
      <c r="T29" s="98"/>
      <c r="U29" s="97">
        <v>36</v>
      </c>
      <c r="V29" s="97"/>
      <c r="W29" s="97">
        <v>48</v>
      </c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1284</v>
      </c>
      <c r="H30" s="42">
        <f t="array" ref="H30">INDEX(O:T,MATCH(1,(B30=O:O)*(C30=R:R),0),5)</f>
        <v>600</v>
      </c>
      <c r="I30" s="42"/>
      <c r="J30" s="9"/>
      <c r="L30" s="97" t="s">
        <v>63</v>
      </c>
      <c r="M30" s="97" t="s">
        <v>2151</v>
      </c>
      <c r="N30" s="97" t="s">
        <v>2788</v>
      </c>
      <c r="O30" s="97"/>
      <c r="P30" s="98">
        <v>44735</v>
      </c>
      <c r="Q30" s="147">
        <v>120</v>
      </c>
      <c r="R30" s="147">
        <v>0</v>
      </c>
      <c r="S30" s="98">
        <v>44757</v>
      </c>
      <c r="T30" s="98"/>
      <c r="U30" s="97">
        <v>36</v>
      </c>
      <c r="V30" s="97"/>
      <c r="W30" s="97">
        <v>84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312</v>
      </c>
      <c r="H31" s="42">
        <f t="array" ref="H31">INDEX(O:T,MATCH(1,(B31=O:O)*(C31=R:R),0),5)</f>
        <v>1200</v>
      </c>
      <c r="I31" s="42"/>
      <c r="J31" s="9"/>
      <c r="L31" s="97" t="s">
        <v>65</v>
      </c>
      <c r="M31" s="97" t="s">
        <v>1146</v>
      </c>
      <c r="N31" s="97" t="s">
        <v>18</v>
      </c>
      <c r="O31" s="97"/>
      <c r="P31" s="98">
        <v>44750</v>
      </c>
      <c r="Q31" s="147">
        <v>264</v>
      </c>
      <c r="R31" s="147">
        <v>0</v>
      </c>
      <c r="S31" s="98">
        <v>44757</v>
      </c>
      <c r="T31" s="98"/>
      <c r="U31" s="97">
        <v>108</v>
      </c>
      <c r="V31" s="97"/>
      <c r="W31" s="97">
        <v>156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792</v>
      </c>
      <c r="H32" s="42">
        <f t="array" ref="H32">INDEX(O:T,MATCH(1,(B32=O:O)*(C32=R:R),0),5)</f>
        <v>600</v>
      </c>
      <c r="I32" s="42"/>
      <c r="J32" s="9"/>
      <c r="L32" s="97" t="s">
        <v>66</v>
      </c>
      <c r="M32" s="97" t="s">
        <v>2297</v>
      </c>
      <c r="N32" s="97" t="s">
        <v>79</v>
      </c>
      <c r="O32" s="97"/>
      <c r="P32" s="98">
        <v>44755</v>
      </c>
      <c r="Q32" s="147">
        <v>192</v>
      </c>
      <c r="R32" s="147">
        <v>0</v>
      </c>
      <c r="S32" s="98">
        <v>44756</v>
      </c>
      <c r="T32" s="98"/>
      <c r="U32" s="97">
        <v>108</v>
      </c>
      <c r="V32" s="97"/>
      <c r="W32" s="97">
        <v>84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1284</v>
      </c>
      <c r="H33" s="42">
        <f t="array" ref="H33">INDEX(O:T,MATCH(1,(B33=O:O)*(C33=R:R),0),5)</f>
        <v>600</v>
      </c>
      <c r="I33" s="42"/>
      <c r="J33" s="9"/>
      <c r="L33" s="97" t="s">
        <v>71</v>
      </c>
      <c r="M33" s="97" t="s">
        <v>238</v>
      </c>
      <c r="N33" s="97" t="s">
        <v>18</v>
      </c>
      <c r="O33" s="97"/>
      <c r="P33" s="98">
        <v>44753</v>
      </c>
      <c r="Q33" s="147">
        <v>528</v>
      </c>
      <c r="R33" s="147">
        <v>0</v>
      </c>
      <c r="S33" s="98">
        <v>44756</v>
      </c>
      <c r="T33" s="98"/>
      <c r="U33" s="97">
        <v>144</v>
      </c>
      <c r="V33" s="97"/>
      <c r="W33" s="97">
        <v>384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Xám</v>
      </c>
      <c r="D34" s="9"/>
      <c r="E34" s="9"/>
      <c r="F34" s="9"/>
      <c r="G34" s="42">
        <f t="array" ref="G34">INDEX(O:T,MATCH(1,(B34=O:O)*(C34=R:R),0),6)</f>
        <v>312</v>
      </c>
      <c r="H34" s="42">
        <f t="array" ref="H34">INDEX(O:T,MATCH(1,(B34=O:O)*(C34=R:R),0),5)</f>
        <v>240</v>
      </c>
      <c r="I34" s="42"/>
      <c r="J34" s="9"/>
      <c r="L34" s="97" t="s">
        <v>72</v>
      </c>
      <c r="M34" s="97" t="s">
        <v>2790</v>
      </c>
      <c r="N34" s="97" t="s">
        <v>28</v>
      </c>
      <c r="O34" s="97"/>
      <c r="P34" s="98">
        <v>44757</v>
      </c>
      <c r="Q34" s="147">
        <v>168</v>
      </c>
      <c r="R34" s="147">
        <v>0</v>
      </c>
      <c r="S34" s="98">
        <v>44758</v>
      </c>
      <c r="T34" s="98"/>
      <c r="U34" s="97">
        <v>48</v>
      </c>
      <c r="V34" s="97"/>
      <c r="W34" s="97">
        <v>120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Đen</v>
      </c>
      <c r="D35" s="9"/>
      <c r="E35" s="9"/>
      <c r="F35" s="9"/>
      <c r="G35" s="42">
        <f t="array" ref="G35">INDEX(O:T,MATCH(1,(B35=O:O)*(C35=R:R),0),6)</f>
        <v>156</v>
      </c>
      <c r="H35" s="42">
        <f t="array" ref="H35">INDEX(O:T,MATCH(1,(B35=O:O)*(C35=R:R),0),5)</f>
        <v>360</v>
      </c>
      <c r="I35" s="42"/>
      <c r="J35" s="9"/>
      <c r="L35" s="97" t="s">
        <v>74</v>
      </c>
      <c r="M35" s="323" t="s">
        <v>1413</v>
      </c>
      <c r="N35" s="97" t="s">
        <v>25</v>
      </c>
      <c r="O35" s="97"/>
      <c r="P35" s="98">
        <v>44753</v>
      </c>
      <c r="Q35" s="147">
        <v>240</v>
      </c>
      <c r="R35" s="147">
        <v>0</v>
      </c>
      <c r="S35" s="98">
        <v>44757</v>
      </c>
      <c r="T35" s="98"/>
      <c r="U35" s="97">
        <v>72</v>
      </c>
      <c r="V35" s="97"/>
      <c r="W35" s="97">
        <v>168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Adadas Hài 2 Bên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540</v>
      </c>
      <c r="H36" s="42">
        <f t="array" ref="H36">INDEX(O:T,MATCH(1,(B36=O:O)*(C36=R:R),0),5)</f>
        <v>360</v>
      </c>
      <c r="I36" s="42"/>
      <c r="J36" s="9"/>
      <c r="L36" s="97" t="s">
        <v>76</v>
      </c>
      <c r="M36" s="97" t="s">
        <v>1113</v>
      </c>
      <c r="N36" s="97" t="s">
        <v>18</v>
      </c>
      <c r="O36" s="97"/>
      <c r="P36" s="98">
        <v>44750</v>
      </c>
      <c r="Q36" s="147">
        <v>384</v>
      </c>
      <c r="R36" s="147">
        <v>0</v>
      </c>
      <c r="S36" s="98">
        <v>44756</v>
      </c>
      <c r="T36" s="98"/>
      <c r="U36" s="97">
        <v>108</v>
      </c>
      <c r="V36" s="97"/>
      <c r="W36" s="97">
        <v>276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Adadas Hài 2 Bên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336</v>
      </c>
      <c r="H37" s="42">
        <f t="array" ref="H37">INDEX(O:T,MATCH(1,(B37=O:O)*(C37=R:R),0),5)</f>
        <v>360</v>
      </c>
      <c r="I37" s="42"/>
      <c r="J37" s="9"/>
      <c r="L37" s="97" t="s">
        <v>77</v>
      </c>
      <c r="M37" s="97" t="s">
        <v>1600</v>
      </c>
      <c r="N37" s="97" t="s">
        <v>25</v>
      </c>
      <c r="O37" s="97"/>
      <c r="P37" s="98">
        <v>44734</v>
      </c>
      <c r="Q37" s="147">
        <v>312</v>
      </c>
      <c r="R37" s="147">
        <v>0</v>
      </c>
      <c r="S37" s="98">
        <v>44757</v>
      </c>
      <c r="T37" s="98"/>
      <c r="U37" s="97">
        <v>60</v>
      </c>
      <c r="V37" s="97"/>
      <c r="W37" s="97">
        <v>252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624</v>
      </c>
      <c r="H38" s="42">
        <f t="array" ref="H38">INDEX(O:T,MATCH(1,(B38=O:O)*(C38=R:R),0),5)</f>
        <v>240</v>
      </c>
      <c r="I38" s="42"/>
      <c r="J38" s="9"/>
      <c r="L38" s="97" t="s">
        <v>78</v>
      </c>
      <c r="M38" s="97" t="s">
        <v>231</v>
      </c>
      <c r="N38" s="97" t="s">
        <v>18</v>
      </c>
      <c r="O38" s="97"/>
      <c r="P38" s="98">
        <v>44757</v>
      </c>
      <c r="Q38" s="147">
        <v>300</v>
      </c>
      <c r="R38" s="147">
        <v>0</v>
      </c>
      <c r="S38" s="98">
        <v>44757</v>
      </c>
      <c r="T38" s="98"/>
      <c r="U38" s="97">
        <v>48</v>
      </c>
      <c r="V38" s="97"/>
      <c r="W38" s="97">
        <v>252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492</v>
      </c>
      <c r="H39" s="42">
        <f t="array" ref="H39">INDEX(O:T,MATCH(1,(B39=O:O)*(C39=R:R),0),5)</f>
        <v>360</v>
      </c>
      <c r="I39" s="42"/>
      <c r="J39" s="9"/>
      <c r="L39" s="97" t="s">
        <v>80</v>
      </c>
      <c r="M39" s="252" t="s">
        <v>1070</v>
      </c>
      <c r="N39" s="97" t="s">
        <v>28</v>
      </c>
      <c r="O39" s="97"/>
      <c r="P39" s="98">
        <v>44736</v>
      </c>
      <c r="Q39" s="147">
        <v>612</v>
      </c>
      <c r="R39" s="147">
        <v>0</v>
      </c>
      <c r="S39" s="98">
        <v>44753</v>
      </c>
      <c r="T39" s="98"/>
      <c r="U39" s="97">
        <v>324</v>
      </c>
      <c r="V39" s="97"/>
      <c r="W39" s="97">
        <v>288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Trắng</v>
      </c>
      <c r="D40" s="9"/>
      <c r="E40" s="9"/>
      <c r="F40" s="9"/>
      <c r="G40" s="42">
        <f t="array" ref="G40">INDEX(O:T,MATCH(1,(B40=O:O)*(C40=R:R),0),6)</f>
        <v>240</v>
      </c>
      <c r="H40" s="42">
        <f t="array" ref="H40">INDEX(O:T,MATCH(1,(B40=O:O)*(C40=R:R),0),5)</f>
        <v>240</v>
      </c>
      <c r="I40" s="42"/>
      <c r="J40" s="9"/>
      <c r="L40" s="97" t="s">
        <v>82</v>
      </c>
      <c r="M40" s="97" t="s">
        <v>2080</v>
      </c>
      <c r="N40" s="97" t="s">
        <v>39</v>
      </c>
      <c r="O40" s="97"/>
      <c r="P40" s="98">
        <v>44755</v>
      </c>
      <c r="Q40" s="147">
        <v>660</v>
      </c>
      <c r="R40" s="147">
        <v>0</v>
      </c>
      <c r="S40" s="98">
        <v>44756</v>
      </c>
      <c r="T40" s="98"/>
      <c r="U40" s="97">
        <v>240</v>
      </c>
      <c r="V40" s="97"/>
      <c r="W40" s="97">
        <v>420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444</v>
      </c>
      <c r="H41" s="42">
        <f t="array" ref="H41">INDEX(O:T,MATCH(1,(B41=O:O)*(C41=R:R),0),5)</f>
        <v>360</v>
      </c>
      <c r="I41" s="42"/>
      <c r="J41" s="9"/>
      <c r="L41" s="97" t="s">
        <v>83</v>
      </c>
      <c r="M41" s="252" t="s">
        <v>1071</v>
      </c>
      <c r="N41" s="97" t="s">
        <v>28</v>
      </c>
      <c r="O41" s="97"/>
      <c r="P41" s="98">
        <v>44736</v>
      </c>
      <c r="Q41" s="147">
        <v>612</v>
      </c>
      <c r="R41" s="147">
        <v>0</v>
      </c>
      <c r="S41" s="98">
        <v>44753</v>
      </c>
      <c r="T41" s="98"/>
      <c r="U41" s="97">
        <v>312</v>
      </c>
      <c r="V41" s="97"/>
      <c r="W41" s="97">
        <v>300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85</v>
      </c>
      <c r="M42" s="97" t="s">
        <v>1476</v>
      </c>
      <c r="N42" s="97" t="s">
        <v>28</v>
      </c>
      <c r="O42" s="97"/>
      <c r="P42" s="98">
        <v>44751</v>
      </c>
      <c r="Q42" s="147">
        <v>132</v>
      </c>
      <c r="R42" s="147">
        <v>0</v>
      </c>
      <c r="S42" s="98">
        <v>44751</v>
      </c>
      <c r="T42" s="98"/>
      <c r="U42" s="97"/>
      <c r="V42" s="97"/>
      <c r="W42" s="97">
        <v>132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88</v>
      </c>
      <c r="M43" s="97" t="s">
        <v>1306</v>
      </c>
      <c r="N43" s="97" t="s">
        <v>28</v>
      </c>
      <c r="O43" s="97"/>
      <c r="P43" s="98">
        <v>44757</v>
      </c>
      <c r="Q43" s="147">
        <v>90</v>
      </c>
      <c r="R43" s="147">
        <v>0</v>
      </c>
      <c r="S43" s="98">
        <v>44758</v>
      </c>
      <c r="T43" s="98"/>
      <c r="U43" s="97">
        <v>10</v>
      </c>
      <c r="V43" s="97"/>
      <c r="W43" s="97">
        <v>80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90</v>
      </c>
      <c r="M44" s="97" t="s">
        <v>1070</v>
      </c>
      <c r="N44" s="97" t="s">
        <v>39</v>
      </c>
      <c r="O44" s="97"/>
      <c r="P44" s="98">
        <v>44731</v>
      </c>
      <c r="Q44" s="147">
        <v>336</v>
      </c>
      <c r="R44" s="147">
        <v>0</v>
      </c>
      <c r="S44" s="98">
        <v>44755</v>
      </c>
      <c r="T44" s="98"/>
      <c r="U44" s="97">
        <v>192</v>
      </c>
      <c r="V44" s="97"/>
      <c r="W44" s="97">
        <v>144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91</v>
      </c>
      <c r="M45" s="252" t="s">
        <v>1071</v>
      </c>
      <c r="N45" s="97" t="s">
        <v>28</v>
      </c>
      <c r="O45" s="97"/>
      <c r="P45" s="98">
        <v>44736</v>
      </c>
      <c r="Q45" s="147">
        <v>0</v>
      </c>
      <c r="R45" s="147">
        <v>0</v>
      </c>
      <c r="S45" s="98">
        <v>44743</v>
      </c>
      <c r="T45" s="98"/>
      <c r="U45" s="97"/>
      <c r="V45" s="97"/>
      <c r="W45" s="97"/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93</v>
      </c>
      <c r="M46" s="97" t="s">
        <v>1691</v>
      </c>
      <c r="N46" s="97" t="s">
        <v>18</v>
      </c>
      <c r="O46" s="97"/>
      <c r="P46" s="98">
        <v>44749</v>
      </c>
      <c r="Q46" s="147">
        <v>252</v>
      </c>
      <c r="R46" s="147">
        <v>0</v>
      </c>
      <c r="S46" s="98">
        <v>44750</v>
      </c>
      <c r="T46" s="98"/>
      <c r="U46" s="97">
        <v>156</v>
      </c>
      <c r="V46" s="97"/>
      <c r="W46" s="97">
        <v>96</v>
      </c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94</v>
      </c>
      <c r="M47" s="97" t="s">
        <v>2603</v>
      </c>
      <c r="N47" s="97" t="s">
        <v>25</v>
      </c>
      <c r="O47" s="97"/>
      <c r="P47" s="98">
        <v>44754</v>
      </c>
      <c r="Q47" s="147">
        <v>372</v>
      </c>
      <c r="R47" s="147">
        <v>0</v>
      </c>
      <c r="S47" s="98">
        <v>44755</v>
      </c>
      <c r="T47" s="98"/>
      <c r="U47" s="97">
        <v>144</v>
      </c>
      <c r="V47" s="97"/>
      <c r="W47" s="97">
        <v>228</v>
      </c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95</v>
      </c>
      <c r="M48" s="97" t="s">
        <v>2603</v>
      </c>
      <c r="N48" s="97" t="s">
        <v>79</v>
      </c>
      <c r="O48" s="97"/>
      <c r="P48" s="98">
        <v>44754</v>
      </c>
      <c r="Q48" s="147">
        <v>600</v>
      </c>
      <c r="R48" s="147">
        <v>0</v>
      </c>
      <c r="S48" s="98">
        <v>44755</v>
      </c>
      <c r="T48" s="98"/>
      <c r="U48" s="97">
        <v>216</v>
      </c>
      <c r="V48" s="97"/>
      <c r="W48" s="97">
        <v>384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96</v>
      </c>
      <c r="M49" s="97" t="s">
        <v>1060</v>
      </c>
      <c r="N49" s="97" t="s">
        <v>39</v>
      </c>
      <c r="O49" s="97"/>
      <c r="P49" s="98">
        <v>44756</v>
      </c>
      <c r="Q49" s="147">
        <v>144</v>
      </c>
      <c r="R49" s="147">
        <v>0</v>
      </c>
      <c r="S49" s="98">
        <v>44758</v>
      </c>
      <c r="T49" s="98"/>
      <c r="U49" s="97"/>
      <c r="V49" s="97"/>
      <c r="W49" s="97">
        <v>144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97</v>
      </c>
      <c r="M50" s="97" t="s">
        <v>2243</v>
      </c>
      <c r="N50" s="97" t="s">
        <v>28</v>
      </c>
      <c r="O50" s="97"/>
      <c r="P50" s="98">
        <v>44754</v>
      </c>
      <c r="Q50" s="147">
        <v>168</v>
      </c>
      <c r="R50" s="147">
        <v>0</v>
      </c>
      <c r="S50" s="98">
        <v>44757</v>
      </c>
      <c r="T50" s="98"/>
      <c r="U50" s="97">
        <v>36</v>
      </c>
      <c r="V50" s="97"/>
      <c r="W50" s="97">
        <v>132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98</v>
      </c>
      <c r="M51" s="97" t="s">
        <v>2603</v>
      </c>
      <c r="N51" s="97" t="s">
        <v>28</v>
      </c>
      <c r="O51" s="97"/>
      <c r="P51" s="98">
        <v>44754</v>
      </c>
      <c r="Q51" s="147">
        <v>432</v>
      </c>
      <c r="R51" s="147">
        <v>0</v>
      </c>
      <c r="S51" s="98">
        <v>44755</v>
      </c>
      <c r="T51" s="98"/>
      <c r="U51" s="97">
        <v>156</v>
      </c>
      <c r="V51" s="97"/>
      <c r="W51" s="97">
        <v>276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100</v>
      </c>
      <c r="M52" s="97" t="s">
        <v>2603</v>
      </c>
      <c r="N52" s="97" t="s">
        <v>25</v>
      </c>
      <c r="O52" s="97"/>
      <c r="P52" s="98">
        <v>44754</v>
      </c>
      <c r="Q52" s="147">
        <v>0</v>
      </c>
      <c r="R52" s="147">
        <v>0</v>
      </c>
      <c r="S52" s="98">
        <v>44743</v>
      </c>
      <c r="T52" s="98"/>
      <c r="U52" s="97"/>
      <c r="V52" s="97"/>
      <c r="W52" s="97"/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101</v>
      </c>
      <c r="M53" s="97" t="s">
        <v>1306</v>
      </c>
      <c r="N53" s="97" t="s">
        <v>39</v>
      </c>
      <c r="O53" s="97"/>
      <c r="P53" s="98">
        <v>44726</v>
      </c>
      <c r="Q53" s="147">
        <v>20</v>
      </c>
      <c r="R53" s="147">
        <v>0</v>
      </c>
      <c r="S53" s="98">
        <v>44758</v>
      </c>
      <c r="T53" s="98"/>
      <c r="U53" s="97"/>
      <c r="V53" s="97"/>
      <c r="W53" s="97">
        <v>20</v>
      </c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102</v>
      </c>
      <c r="M54" s="97" t="s">
        <v>1306</v>
      </c>
      <c r="N54" s="97" t="s">
        <v>39</v>
      </c>
      <c r="O54" s="97"/>
      <c r="P54" s="98">
        <v>44726</v>
      </c>
      <c r="Q54" s="147">
        <v>100</v>
      </c>
      <c r="R54" s="147">
        <v>0</v>
      </c>
      <c r="S54" s="98">
        <v>44758</v>
      </c>
      <c r="T54" s="98"/>
      <c r="U54" s="97">
        <v>30</v>
      </c>
      <c r="V54" s="97"/>
      <c r="W54" s="97">
        <v>70</v>
      </c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103</v>
      </c>
      <c r="M55" s="97" t="s">
        <v>2258</v>
      </c>
      <c r="N55" s="97" t="s">
        <v>39</v>
      </c>
      <c r="O55" s="97"/>
      <c r="P55" s="98">
        <v>44738</v>
      </c>
      <c r="Q55" s="147">
        <v>156</v>
      </c>
      <c r="R55" s="147">
        <v>0</v>
      </c>
      <c r="S55" s="98">
        <v>44747</v>
      </c>
      <c r="T55" s="98"/>
      <c r="U55" s="97">
        <v>72</v>
      </c>
      <c r="V55" s="97"/>
      <c r="W55" s="97">
        <v>84</v>
      </c>
      <c r="X55" s="99"/>
      <c r="Y55" s="99"/>
      <c r="Z55" s="97"/>
      <c r="AA55" s="97"/>
      <c r="AB55" s="97"/>
      <c r="AF55" s="335" t="s">
        <v>187</v>
      </c>
      <c r="AG55" s="336"/>
      <c r="AH55" s="336"/>
      <c r="AI55" s="336"/>
      <c r="AJ55" s="336"/>
      <c r="AK55" s="336"/>
      <c r="AL55" s="336"/>
      <c r="AM55" s="336"/>
      <c r="AN55" s="336"/>
      <c r="AO55" s="336"/>
      <c r="AP55" s="336"/>
      <c r="AQ55" s="336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105</v>
      </c>
      <c r="M56" s="97" t="s">
        <v>2603</v>
      </c>
      <c r="N56" s="97" t="s">
        <v>28</v>
      </c>
      <c r="O56" s="97"/>
      <c r="P56" s="98">
        <v>44754</v>
      </c>
      <c r="Q56" s="147">
        <v>120</v>
      </c>
      <c r="R56" s="147">
        <v>0</v>
      </c>
      <c r="S56" s="98">
        <v>44758</v>
      </c>
      <c r="T56" s="98"/>
      <c r="U56" s="97"/>
      <c r="V56" s="97"/>
      <c r="W56" s="97">
        <v>120</v>
      </c>
      <c r="X56" s="99"/>
      <c r="Y56" s="99"/>
      <c r="Z56" s="97"/>
      <c r="AA56" s="97"/>
      <c r="AB56" s="97"/>
      <c r="AF56" s="49"/>
      <c r="AG56" s="50"/>
      <c r="AH56" s="336" t="s">
        <v>188</v>
      </c>
      <c r="AI56" s="336"/>
      <c r="AJ56" s="336"/>
      <c r="AK56" s="336"/>
      <c r="AL56" s="336"/>
      <c r="AM56" s="336"/>
      <c r="AN56" s="336"/>
      <c r="AO56" s="336"/>
      <c r="AP56" s="336"/>
      <c r="AQ56" s="336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 Trơn</v>
      </c>
      <c r="C57" s="9" t="str">
        <f t="shared" ref="C57:C71" si="7">IF(ISNA(VLOOKUP(A57,$L:$N,3,FALSE)),"---",VLOOKUP(A57,$L:$N,3,FALSE))</f>
        <v>Đen</v>
      </c>
      <c r="D57" s="9"/>
      <c r="E57" s="9"/>
      <c r="F57" s="9"/>
      <c r="G57" s="42">
        <f t="array" ref="G57">INDEX(O:T,MATCH(1,(B57=O:O)*(C57=R:R),0),6)</f>
        <v>84</v>
      </c>
      <c r="H57" s="42">
        <f t="array" ref="H57">INDEX(O:T,MATCH(1,(B57=O:O)*(C57=R:R),0),5)</f>
        <v>300</v>
      </c>
      <c r="I57" s="42"/>
      <c r="J57" s="9"/>
      <c r="L57" s="97" t="s">
        <v>68</v>
      </c>
      <c r="M57" s="97" t="s">
        <v>433</v>
      </c>
      <c r="N57" s="97" t="s">
        <v>18</v>
      </c>
      <c r="O57" s="97"/>
      <c r="P57" s="98">
        <v>44746</v>
      </c>
      <c r="Q57" s="147">
        <v>0</v>
      </c>
      <c r="R57" s="147">
        <v>0</v>
      </c>
      <c r="S57" s="98">
        <v>44760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Woada LK-802</v>
      </c>
      <c r="C58" s="9" t="str">
        <f t="shared" si="7"/>
        <v>Đen-Chuối</v>
      </c>
      <c r="D58" s="9"/>
      <c r="E58" s="9"/>
      <c r="F58" s="9"/>
      <c r="G58" s="42">
        <f t="array" ref="G58">INDEX(O:T,MATCH(1,(B58=O:O)*(C58=R:R),0),6)</f>
        <v>120</v>
      </c>
      <c r="H58" s="42">
        <f t="array" ref="H58">INDEX(O:T,MATCH(1,(B58=O:O)*(C58=R:R),0),5)</f>
        <v>100</v>
      </c>
      <c r="I58" s="42"/>
      <c r="J58" s="9"/>
      <c r="L58" s="97" t="s">
        <v>70</v>
      </c>
      <c r="M58" s="97" t="s">
        <v>1127</v>
      </c>
      <c r="N58" s="97" t="s">
        <v>135</v>
      </c>
      <c r="O58" s="97"/>
      <c r="P58" s="98">
        <v>44754</v>
      </c>
      <c r="Q58" s="147">
        <v>48</v>
      </c>
      <c r="R58" s="147">
        <v>0</v>
      </c>
      <c r="S58" s="98">
        <v>44759</v>
      </c>
      <c r="T58" s="98"/>
      <c r="U58" s="97"/>
      <c r="V58" s="97"/>
      <c r="W58" s="97">
        <v>48</v>
      </c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 Trơn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Đen</v>
      </c>
      <c r="D59" s="9"/>
      <c r="E59" s="9"/>
      <c r="F59" s="9"/>
      <c r="G59" s="42">
        <f t="array" ref="G59">INDEX(O:T,MATCH(1,(B59=O:O)*(C59=R:R),0),6)</f>
        <v>264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Woada LK-802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192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Kid</v>
      </c>
      <c r="C61" s="9" t="str">
        <f t="shared" si="7"/>
        <v>Đen</v>
      </c>
      <c r="D61" s="9"/>
      <c r="E61" s="9"/>
      <c r="F61" s="9"/>
      <c r="G61" s="42">
        <f t="array" ref="G61">INDEX(O:T,MATCH(1,(B61=O:O)*(C61=R:R),0),6)</f>
        <v>0</v>
      </c>
      <c r="H61" s="42">
        <f t="array" ref="H61">INDEX(O:T,MATCH(1,(B61=O:O)*(C61=R:R),0),5)</f>
        <v>300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Đá banh Xịn</v>
      </c>
      <c r="C62" s="9" t="str">
        <f t="shared" si="7"/>
        <v>Xanh bích</v>
      </c>
      <c r="D62" s="9"/>
      <c r="E62" s="9"/>
      <c r="F62" s="9"/>
      <c r="G62" s="42">
        <f t="array" ref="G62">INDEX(O:T,MATCH(1,(B62=O:O)*(C62=R:R),0),6)</f>
        <v>48</v>
      </c>
      <c r="H62" s="42">
        <f t="array" ref="H62">INDEX(O:T,MATCH(1,(B62=O:O)*(C62=R:R),0),5)</f>
        <v>120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Kid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Đen</v>
      </c>
      <c r="D63" s="9"/>
      <c r="E63" s="9"/>
      <c r="F63" s="9"/>
      <c r="G63" s="42">
        <f t="array" ref="G63">INDEX(O:T,MATCH(1,(B63=O:O)*(C63=R:R),0),6)</f>
        <v>528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Đá banh Xịn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Tomy CSD</v>
      </c>
      <c r="C64" s="9" t="str">
        <f t="shared" si="7"/>
        <v>Trắng</v>
      </c>
      <c r="D64" s="9"/>
      <c r="E64" s="9"/>
      <c r="F64" s="9"/>
      <c r="G64" s="42">
        <f t="array" ref="G64">INDEX(O:T,MATCH(1,(B64=O:O)*(C64=R:R),0),6)</f>
        <v>168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Xám đậm</v>
      </c>
      <c r="D65" s="9"/>
      <c r="E65" s="9"/>
      <c r="F65" s="9"/>
      <c r="G65" s="42">
        <f t="array" ref="G65">INDEX(O:T,MATCH(1,(B65=O:O)*(C65=R:R),0),6)</f>
        <v>240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Tomy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Đen</v>
      </c>
      <c r="D66" s="9"/>
      <c r="E66" s="9"/>
      <c r="F66" s="9"/>
      <c r="G66" s="42">
        <f t="array" ref="G66">INDEX(O:T,MATCH(1,(B66=O:O)*(C66=R:R),0),6)</f>
        <v>384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Xám đậm</v>
      </c>
      <c r="D67" s="9"/>
      <c r="E67" s="9"/>
      <c r="F67" s="9"/>
      <c r="G67" s="42">
        <f t="array" ref="G67">INDEX(O:T,MATCH(1,(B67=O:O)*(C67=R:R),0),6)</f>
        <v>312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CK NC</v>
      </c>
      <c r="C68" s="9" t="str">
        <f t="shared" si="7"/>
        <v>Đen</v>
      </c>
      <c r="D68" s="9"/>
      <c r="E68" s="9"/>
      <c r="F68" s="9"/>
      <c r="G68" s="42">
        <f t="array" ref="G68">INDEX(O:T,MATCH(1,(B68=O:O)*(C68=R:R),0),6)</f>
        <v>300</v>
      </c>
      <c r="H68" s="42">
        <f t="array" ref="H68">INDEX(O:T,MATCH(1,(B68=O:O)*(C68=R:R),0),5)</f>
        <v>360</v>
      </c>
      <c r="I68" s="42"/>
      <c r="J68" s="9"/>
      <c r="N68" s="252" t="s">
        <v>2751</v>
      </c>
      <c r="O68" s="97" t="s">
        <v>433</v>
      </c>
      <c r="P68" s="253">
        <v>44746</v>
      </c>
      <c r="Q68" s="269"/>
      <c r="R68" s="252" t="s">
        <v>18</v>
      </c>
      <c r="S68" s="255">
        <v>300</v>
      </c>
      <c r="T68" s="255">
        <v>0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948</v>
      </c>
      <c r="H69" s="42">
        <f t="array" ref="H69">INDEX(O:T,MATCH(1,(B69=O:O)*(C69=R:R),0),5)</f>
        <v>600</v>
      </c>
      <c r="I69" s="42"/>
      <c r="J69" s="9"/>
      <c r="N69" s="252" t="s">
        <v>2756</v>
      </c>
      <c r="O69" s="271" t="s">
        <v>1691</v>
      </c>
      <c r="P69" s="253">
        <v>44749</v>
      </c>
      <c r="Q69" s="254"/>
      <c r="R69" s="252" t="s">
        <v>18</v>
      </c>
      <c r="S69" s="255">
        <v>360</v>
      </c>
      <c r="T69" s="255">
        <v>252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CK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1284</v>
      </c>
      <c r="H70" s="42">
        <f t="array" ref="H70">INDEX(O:T,MATCH(1,(B70=O:O)*(C70=R:R),0),5)</f>
        <v>600</v>
      </c>
      <c r="I70" s="42"/>
      <c r="J70" s="9"/>
      <c r="N70" s="252" t="s">
        <v>2779</v>
      </c>
      <c r="O70" s="252" t="s">
        <v>1687</v>
      </c>
      <c r="P70" s="253">
        <v>44755</v>
      </c>
      <c r="Q70" s="254"/>
      <c r="R70" s="252" t="s">
        <v>18</v>
      </c>
      <c r="S70" s="255">
        <v>360</v>
      </c>
      <c r="T70" s="255">
        <v>300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924</v>
      </c>
      <c r="H71" s="42">
        <f t="array" ref="H71">INDEX(O:T,MATCH(1,(B71=O:O)*(C71=R:R),0),5)</f>
        <v>600</v>
      </c>
      <c r="I71" s="42"/>
      <c r="J71" s="9"/>
      <c r="N71" s="252" t="s">
        <v>2758</v>
      </c>
      <c r="O71" s="97" t="s">
        <v>1198</v>
      </c>
      <c r="P71" s="253">
        <v>44749</v>
      </c>
      <c r="Q71" s="254"/>
      <c r="R71" s="252" t="s">
        <v>25</v>
      </c>
      <c r="S71" s="255">
        <v>360</v>
      </c>
      <c r="T71" s="255">
        <v>480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2767</v>
      </c>
      <c r="O72" s="97" t="s">
        <v>1476</v>
      </c>
      <c r="P72" s="253">
        <v>44751</v>
      </c>
      <c r="Q72" s="269"/>
      <c r="R72" s="252" t="s">
        <v>28</v>
      </c>
      <c r="S72" s="255">
        <v>600</v>
      </c>
      <c r="T72" s="255">
        <v>132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2764</v>
      </c>
      <c r="O73" s="97" t="s">
        <v>1113</v>
      </c>
      <c r="P73" s="253">
        <v>44750</v>
      </c>
      <c r="Q73" s="254"/>
      <c r="R73" s="252" t="s">
        <v>18</v>
      </c>
      <c r="S73" s="255">
        <v>600</v>
      </c>
      <c r="T73" s="255">
        <v>384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2747</v>
      </c>
      <c r="O74" s="317" t="s">
        <v>1421</v>
      </c>
      <c r="P74" s="253">
        <v>44742</v>
      </c>
      <c r="Q74" s="254"/>
      <c r="R74" s="252" t="s">
        <v>39</v>
      </c>
      <c r="S74" s="255">
        <v>240</v>
      </c>
      <c r="T74" s="255">
        <v>504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2773</v>
      </c>
      <c r="O75" s="317" t="s">
        <v>1413</v>
      </c>
      <c r="P75" s="253">
        <v>44753</v>
      </c>
      <c r="Q75" s="254"/>
      <c r="R75" s="252" t="s">
        <v>25</v>
      </c>
      <c r="S75" s="255">
        <v>360</v>
      </c>
      <c r="T75" s="255">
        <v>240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2734</v>
      </c>
      <c r="O76" s="97" t="s">
        <v>2258</v>
      </c>
      <c r="P76" s="253">
        <v>44738</v>
      </c>
      <c r="Q76" s="269"/>
      <c r="R76" s="252" t="s">
        <v>39</v>
      </c>
      <c r="S76" s="255">
        <v>3257</v>
      </c>
      <c r="T76" s="255">
        <v>3336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2763</v>
      </c>
      <c r="O77" s="97" t="s">
        <v>1146</v>
      </c>
      <c r="P77" s="253">
        <v>44750</v>
      </c>
      <c r="Q77" s="269"/>
      <c r="R77" s="252" t="s">
        <v>18</v>
      </c>
      <c r="S77" s="255">
        <v>600</v>
      </c>
      <c r="T77" s="255">
        <v>264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2768</v>
      </c>
      <c r="O78" s="317" t="s">
        <v>234</v>
      </c>
      <c r="P78" s="253">
        <v>44754</v>
      </c>
      <c r="Q78" s="269"/>
      <c r="R78" s="252" t="s">
        <v>28</v>
      </c>
      <c r="S78" s="255">
        <v>600</v>
      </c>
      <c r="T78" s="255">
        <v>852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TT Dày CC Adadas</v>
      </c>
      <c r="C79" s="9" t="str">
        <f t="shared" ref="C79:C93" si="10">IF(ISNA(VLOOKUP(A79,$L:$N,3,FALSE)),"---",VLOOKUP(A79,$L:$N,3,FALSE))</f>
        <v>Trắng</v>
      </c>
      <c r="D79" s="9"/>
      <c r="E79" s="9"/>
      <c r="F79" s="9"/>
      <c r="G79" s="42">
        <f t="array" ref="G79">INDEX(O:T,MATCH(1,(B79=O:O)*(C79=R:R),0),6)</f>
        <v>132</v>
      </c>
      <c r="H79" s="42">
        <f t="array" ref="H79">INDEX(O:T,MATCH(1,(B79=O:O)*(C79=R:R),0),5)</f>
        <v>600</v>
      </c>
      <c r="I79" s="42"/>
      <c r="J79" s="9"/>
      <c r="N79" s="252" t="s">
        <v>2755</v>
      </c>
      <c r="O79" s="317" t="s">
        <v>1070</v>
      </c>
      <c r="P79" s="253">
        <v>44749</v>
      </c>
      <c r="Q79" s="254"/>
      <c r="R79" s="252" t="s">
        <v>18</v>
      </c>
      <c r="S79" s="255">
        <v>600</v>
      </c>
      <c r="T79" s="255">
        <v>984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tay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90</v>
      </c>
      <c r="H80" s="42">
        <f t="array" ref="H80">INDEX(O:T,MATCH(1,(B80=O:O)*(C80=R:R),0),5)</f>
        <v>600</v>
      </c>
      <c r="I80" s="42"/>
      <c r="J80" s="9"/>
      <c r="M80" s="53"/>
      <c r="N80" s="252" t="s">
        <v>2715</v>
      </c>
      <c r="O80" s="97" t="s">
        <v>1070</v>
      </c>
      <c r="P80" s="253">
        <v>44731</v>
      </c>
      <c r="Q80" s="254"/>
      <c r="R80" s="252" t="s">
        <v>39</v>
      </c>
      <c r="S80" s="255">
        <v>600</v>
      </c>
      <c r="T80" s="255">
        <v>696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TT Dày CC Adadas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Xám</v>
      </c>
      <c r="D81" s="9"/>
      <c r="E81" s="9"/>
      <c r="F81" s="9"/>
      <c r="G81" s="42">
        <f t="array" ref="G81">INDEX(O:T,MATCH(1,(B81=O:O)*(C81=R:R),0),6)</f>
        <v>696</v>
      </c>
      <c r="H81" s="42">
        <f t="array" ref="H81">INDEX(O:T,MATCH(1,(B81=O:O)*(C81=R:R),0),5)</f>
        <v>600</v>
      </c>
      <c r="I81" s="42"/>
      <c r="J81" s="9"/>
      <c r="N81" s="252" t="s">
        <v>2730</v>
      </c>
      <c r="O81" s="97" t="s">
        <v>1070</v>
      </c>
      <c r="P81" s="253">
        <v>44736</v>
      </c>
      <c r="Q81" s="254"/>
      <c r="R81" s="252" t="s">
        <v>28</v>
      </c>
      <c r="S81" s="255">
        <v>600</v>
      </c>
      <c r="T81" s="255">
        <v>948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tay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924</v>
      </c>
      <c r="H82" s="42">
        <f t="array" ref="H82">INDEX(O:T,MATCH(1,(B82=O:O)*(C82=R:R),0),5)</f>
        <v>600</v>
      </c>
      <c r="I82" s="42"/>
      <c r="J82" s="9"/>
      <c r="N82" s="252" t="s">
        <v>2722</v>
      </c>
      <c r="O82" s="252" t="s">
        <v>1600</v>
      </c>
      <c r="P82" s="253">
        <v>44734</v>
      </c>
      <c r="Q82" s="254"/>
      <c r="R82" s="252" t="s">
        <v>25</v>
      </c>
      <c r="S82" s="255">
        <v>360</v>
      </c>
      <c r="T82" s="255">
        <v>312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252</v>
      </c>
      <c r="H83" s="42">
        <f t="array" ref="H83">INDEX(O:T,MATCH(1,(B83=O:O)*(C83=R:R),0),5)</f>
        <v>360</v>
      </c>
      <c r="I83" s="42"/>
      <c r="J83" s="9"/>
      <c r="N83" s="252" t="s">
        <v>2741</v>
      </c>
      <c r="O83" s="252" t="s">
        <v>1601</v>
      </c>
      <c r="P83" s="253">
        <v>44741</v>
      </c>
      <c r="Q83" s="254"/>
      <c r="R83" s="252" t="s">
        <v>28</v>
      </c>
      <c r="S83" s="255">
        <v>240</v>
      </c>
      <c r="T83" s="255">
        <v>204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372</v>
      </c>
      <c r="H84" s="42">
        <f t="array" ref="H84">INDEX(O:T,MATCH(1,(B84=O:O)*(C84=R:R),0),5)</f>
        <v>360</v>
      </c>
      <c r="I84" s="42"/>
      <c r="J84" s="9"/>
      <c r="N84" s="252" t="s">
        <v>2754</v>
      </c>
      <c r="O84" s="97" t="s">
        <v>1071</v>
      </c>
      <c r="P84" s="253">
        <v>44749</v>
      </c>
      <c r="Q84" s="254"/>
      <c r="R84" s="252" t="s">
        <v>18</v>
      </c>
      <c r="S84" s="255">
        <v>600</v>
      </c>
      <c r="T84" s="255">
        <v>900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Xanh đen</v>
      </c>
      <c r="D85" s="9"/>
      <c r="E85" s="9"/>
      <c r="F85" s="9"/>
      <c r="G85" s="42">
        <f t="array" ref="G85">INDEX(O:T,MATCH(1,(B85=O:O)*(C85=R:R),0),6)</f>
        <v>600</v>
      </c>
      <c r="H85" s="42">
        <f t="array" ref="H85">INDEX(O:T,MATCH(1,(B85=O:O)*(C85=R:R),0),5)</f>
        <v>240</v>
      </c>
      <c r="I85" s="42"/>
      <c r="J85" s="9"/>
      <c r="N85" s="252" t="s">
        <v>2729</v>
      </c>
      <c r="O85" s="317" t="s">
        <v>1071</v>
      </c>
      <c r="P85" s="253">
        <v>44736</v>
      </c>
      <c r="Q85" s="254"/>
      <c r="R85" s="252" t="s">
        <v>28</v>
      </c>
      <c r="S85" s="255">
        <v>600</v>
      </c>
      <c r="T85" s="255">
        <v>924</v>
      </c>
      <c r="U85" s="255">
        <v>2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Xám</v>
      </c>
      <c r="D86" s="9"/>
      <c r="E86" s="9"/>
      <c r="F86" s="9"/>
      <c r="G86" s="42">
        <f t="array" ref="G86">INDEX(O:T,MATCH(1,(B86=O:O)*(C86=R:R),0),6)</f>
        <v>144</v>
      </c>
      <c r="H86" s="42">
        <f t="array" ref="H86">INDEX(O:T,MATCH(1,(B86=O:O)*(C86=R:R),0),5)</f>
        <v>240</v>
      </c>
      <c r="I86" s="42"/>
      <c r="J86" s="9"/>
      <c r="N86" s="252" t="s">
        <v>2704</v>
      </c>
      <c r="O86" s="252" t="s">
        <v>1306</v>
      </c>
      <c r="P86" s="253">
        <v>44726</v>
      </c>
      <c r="Q86" s="269"/>
      <c r="R86" s="252" t="s">
        <v>39</v>
      </c>
      <c r="S86" s="255">
        <v>500</v>
      </c>
      <c r="T86" s="255">
        <v>600</v>
      </c>
      <c r="U86" s="255">
        <v>2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Trắng</v>
      </c>
      <c r="D87" s="9"/>
      <c r="E87" s="9"/>
      <c r="F87" s="9"/>
      <c r="G87" s="42">
        <f t="array" ref="G87">INDEX(O:T,MATCH(1,(B87=O:O)*(C87=R:R),0),6)</f>
        <v>624</v>
      </c>
      <c r="H87" s="42">
        <f t="array" ref="H87">INDEX(O:T,MATCH(1,(B87=O:O)*(C87=R:R),0),5)</f>
        <v>240</v>
      </c>
      <c r="I87" s="42"/>
      <c r="J87" s="9"/>
      <c r="N87" s="252" t="s">
        <v>2723</v>
      </c>
      <c r="O87" s="317" t="s">
        <v>2156</v>
      </c>
      <c r="P87" s="253">
        <v>44735</v>
      </c>
      <c r="Q87" s="269"/>
      <c r="R87" s="252" t="s">
        <v>2147</v>
      </c>
      <c r="S87" s="255">
        <v>300</v>
      </c>
      <c r="T87" s="255">
        <v>264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552</v>
      </c>
      <c r="H88" s="42">
        <f t="array" ref="H88">INDEX(O:T,MATCH(1,(B88=O:O)*(C88=R:R),0),5)</f>
        <v>240</v>
      </c>
      <c r="I88" s="42"/>
      <c r="J88" s="9"/>
      <c r="N88" s="252" t="s">
        <v>2723</v>
      </c>
      <c r="O88" s="97" t="s">
        <v>2151</v>
      </c>
      <c r="P88" s="253">
        <v>44735</v>
      </c>
      <c r="Q88" s="269"/>
      <c r="R88" s="252" t="s">
        <v>2788</v>
      </c>
      <c r="S88" s="255">
        <v>100</v>
      </c>
      <c r="T88" s="255">
        <v>120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372</v>
      </c>
      <c r="H89" s="42">
        <f t="array" ref="H89">INDEX(O:T,MATCH(1,(B89=O:O)*(C89=R:R),0),5)</f>
        <v>360</v>
      </c>
      <c r="I89" s="42"/>
      <c r="J89" s="9"/>
      <c r="N89" s="252" t="s">
        <v>2771</v>
      </c>
      <c r="O89" s="97" t="s">
        <v>772</v>
      </c>
      <c r="P89" s="253">
        <v>44753</v>
      </c>
      <c r="Q89" s="254"/>
      <c r="R89" s="252" t="s">
        <v>28</v>
      </c>
      <c r="S89" s="255">
        <v>600</v>
      </c>
      <c r="T89" s="255">
        <v>792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Ống tay</v>
      </c>
      <c r="C90" s="9" t="str">
        <f t="shared" si="10"/>
        <v>Xám</v>
      </c>
      <c r="D90" s="9"/>
      <c r="E90" s="9"/>
      <c r="F90" s="9"/>
      <c r="G90" s="42">
        <f t="array" ref="G90">INDEX(O:T,MATCH(1,(B90=O:O)*(C90=R:R),0),6)</f>
        <v>600</v>
      </c>
      <c r="H90" s="42">
        <f t="array" ref="H90">INDEX(O:T,MATCH(1,(B90=O:O)*(C90=R:R),0),5)</f>
        <v>500</v>
      </c>
      <c r="I90" s="42"/>
      <c r="J90" s="9"/>
      <c r="N90" s="252" t="s">
        <v>2771</v>
      </c>
      <c r="O90" s="97" t="s">
        <v>582</v>
      </c>
      <c r="P90" s="253">
        <v>44753</v>
      </c>
      <c r="Q90" s="254"/>
      <c r="R90" s="252" t="s">
        <v>28</v>
      </c>
      <c r="S90" s="255">
        <v>600</v>
      </c>
      <c r="T90" s="255">
        <v>648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Ống tay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600</v>
      </c>
      <c r="H91" s="42">
        <f t="array" ref="H91">INDEX(O:T,MATCH(1,(B91=O:O)*(C91=R:R),0),5)</f>
        <v>500</v>
      </c>
      <c r="I91" s="42"/>
      <c r="J91" s="9"/>
      <c r="N91" s="252" t="s">
        <v>2780</v>
      </c>
      <c r="O91" s="317" t="s">
        <v>2222</v>
      </c>
      <c r="P91" s="253">
        <v>44754</v>
      </c>
      <c r="Q91" s="254"/>
      <c r="R91" s="252" t="s">
        <v>39</v>
      </c>
      <c r="S91" s="255">
        <v>240</v>
      </c>
      <c r="T91" s="255">
        <v>660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Ống tay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3336</v>
      </c>
      <c r="H92" s="42">
        <f t="array" ref="H92">INDEX(O:T,MATCH(1,(B92=O:O)*(C92=R:R),0),5)</f>
        <v>3257</v>
      </c>
      <c r="I92" s="42"/>
      <c r="J92" s="9"/>
      <c r="N92" s="252" t="s">
        <v>2780</v>
      </c>
      <c r="O92" s="317" t="s">
        <v>2222</v>
      </c>
      <c r="P92" s="253">
        <v>44754</v>
      </c>
      <c r="Q92" s="254"/>
      <c r="R92" s="252" t="s">
        <v>18</v>
      </c>
      <c r="S92" s="255">
        <v>360</v>
      </c>
      <c r="T92" s="255">
        <v>624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Ống tay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TH NC viền 2 su</v>
      </c>
      <c r="C93" s="9" t="str">
        <f t="shared" si="10"/>
        <v>Trắng</v>
      </c>
      <c r="D93" s="9"/>
      <c r="E93" s="9"/>
      <c r="F93" s="9"/>
      <c r="G93" s="42">
        <f t="array" ref="G93">INDEX(O:T,MATCH(1,(B93=O:O)*(C93=R:R),0),6)</f>
        <v>552</v>
      </c>
      <c r="H93" s="42">
        <f t="array" ref="H93">INDEX(O:T,MATCH(1,(B93=O:O)*(C93=R:R),0),5)</f>
        <v>240</v>
      </c>
      <c r="I93" s="42"/>
      <c r="J93" s="9"/>
      <c r="N93" s="252" t="s">
        <v>2780</v>
      </c>
      <c r="O93" s="317" t="s">
        <v>2222</v>
      </c>
      <c r="P93" s="253">
        <v>44754</v>
      </c>
      <c r="Q93" s="328"/>
      <c r="R93" s="274" t="s">
        <v>25</v>
      </c>
      <c r="S93" s="285">
        <v>360</v>
      </c>
      <c r="T93" s="255">
        <v>372</v>
      </c>
      <c r="U93" s="255">
        <v>2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2780</v>
      </c>
      <c r="O94" s="317" t="s">
        <v>2222</v>
      </c>
      <c r="P94" s="253">
        <v>44754</v>
      </c>
      <c r="Q94" s="254"/>
      <c r="R94" s="252" t="s">
        <v>28</v>
      </c>
      <c r="S94" s="255">
        <v>240</v>
      </c>
      <c r="T94" s="255">
        <v>552</v>
      </c>
      <c r="U94" s="255">
        <v>2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TH NC viền 2 su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2774</v>
      </c>
      <c r="O95" s="97" t="s">
        <v>1438</v>
      </c>
      <c r="P95" s="253">
        <v>44754</v>
      </c>
      <c r="Q95" s="254"/>
      <c r="R95" s="252" t="s">
        <v>28</v>
      </c>
      <c r="S95" s="255">
        <v>240</v>
      </c>
      <c r="T95" s="255">
        <v>624</v>
      </c>
      <c r="U95" s="255">
        <v>2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2774</v>
      </c>
      <c r="O96" s="97" t="s">
        <v>1438</v>
      </c>
      <c r="P96" s="253">
        <v>44754</v>
      </c>
      <c r="Q96" s="254"/>
      <c r="R96" s="252" t="s">
        <v>25</v>
      </c>
      <c r="S96" s="255">
        <v>360</v>
      </c>
      <c r="T96" s="255">
        <v>492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2774</v>
      </c>
      <c r="O97" s="97" t="s">
        <v>1438</v>
      </c>
      <c r="P97" s="253">
        <v>44754</v>
      </c>
      <c r="Q97" s="254"/>
      <c r="R97" s="252" t="s">
        <v>18</v>
      </c>
      <c r="S97" s="255">
        <v>360</v>
      </c>
      <c r="T97" s="255">
        <v>444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2776</v>
      </c>
      <c r="O98" s="329" t="s">
        <v>1442</v>
      </c>
      <c r="P98" s="253">
        <v>44754</v>
      </c>
      <c r="Q98" s="254"/>
      <c r="R98" s="252" t="s">
        <v>25</v>
      </c>
      <c r="S98" s="255">
        <v>360</v>
      </c>
      <c r="T98" s="255">
        <v>336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2776</v>
      </c>
      <c r="O99" s="329" t="s">
        <v>1442</v>
      </c>
      <c r="P99" s="253">
        <v>44754</v>
      </c>
      <c r="Q99" s="254"/>
      <c r="R99" s="252" t="s">
        <v>18</v>
      </c>
      <c r="S99" s="255">
        <v>360</v>
      </c>
      <c r="T99" s="255">
        <v>540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2777</v>
      </c>
      <c r="O100" s="252" t="s">
        <v>1510</v>
      </c>
      <c r="P100" s="253">
        <v>44754</v>
      </c>
      <c r="Q100" s="254"/>
      <c r="R100" s="252" t="s">
        <v>39</v>
      </c>
      <c r="S100" s="255">
        <v>240</v>
      </c>
      <c r="T100" s="255">
        <v>312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2777</v>
      </c>
      <c r="O101" s="252" t="s">
        <v>1510</v>
      </c>
      <c r="P101" s="253">
        <v>44754</v>
      </c>
      <c r="Q101" s="254"/>
      <c r="R101" s="252" t="s">
        <v>18</v>
      </c>
      <c r="S101" s="255">
        <v>360</v>
      </c>
      <c r="T101" s="255">
        <v>156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2780</v>
      </c>
      <c r="O102" s="317" t="s">
        <v>2222</v>
      </c>
      <c r="P102" s="253">
        <v>44754</v>
      </c>
      <c r="Q102" s="254"/>
      <c r="R102" s="252" t="s">
        <v>79</v>
      </c>
      <c r="S102" s="255">
        <v>240</v>
      </c>
      <c r="T102" s="255">
        <v>600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2781</v>
      </c>
      <c r="O103" s="97" t="s">
        <v>2297</v>
      </c>
      <c r="P103" s="253">
        <v>44755</v>
      </c>
      <c r="Q103" s="269"/>
      <c r="R103" s="252" t="s">
        <v>79</v>
      </c>
      <c r="S103" s="255">
        <v>360</v>
      </c>
      <c r="T103" s="255">
        <v>192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2782</v>
      </c>
      <c r="O104" s="97" t="s">
        <v>2080</v>
      </c>
      <c r="P104" s="253">
        <v>44755</v>
      </c>
      <c r="Q104" s="254"/>
      <c r="R104" s="252" t="s">
        <v>39</v>
      </c>
      <c r="S104" s="255">
        <v>600</v>
      </c>
      <c r="T104" s="255">
        <v>1284</v>
      </c>
      <c r="U104" s="255">
        <v>3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2782</v>
      </c>
      <c r="O105" s="97" t="s">
        <v>2080</v>
      </c>
      <c r="P105" s="253">
        <v>44755</v>
      </c>
      <c r="Q105" s="254"/>
      <c r="R105" s="252" t="s">
        <v>28</v>
      </c>
      <c r="S105" s="255">
        <v>1200</v>
      </c>
      <c r="T105" s="255">
        <v>312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2783</v>
      </c>
      <c r="O106" s="329" t="s">
        <v>1596</v>
      </c>
      <c r="P106" s="253">
        <v>44755</v>
      </c>
      <c r="Q106" s="254"/>
      <c r="R106" s="252" t="s">
        <v>25</v>
      </c>
      <c r="S106" s="255">
        <v>360</v>
      </c>
      <c r="T106" s="255">
        <v>144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2784</v>
      </c>
      <c r="O107" s="97" t="s">
        <v>1060</v>
      </c>
      <c r="P107" s="253">
        <v>44756</v>
      </c>
      <c r="Q107" s="254"/>
      <c r="R107" s="252" t="s">
        <v>39</v>
      </c>
      <c r="S107" s="255">
        <v>240</v>
      </c>
      <c r="T107" s="255">
        <v>144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2785</v>
      </c>
      <c r="O108" s="317" t="s">
        <v>30</v>
      </c>
      <c r="P108" s="253">
        <v>44756</v>
      </c>
      <c r="Q108" s="254"/>
      <c r="R108" s="252" t="s">
        <v>39</v>
      </c>
      <c r="S108" s="255">
        <v>240</v>
      </c>
      <c r="T108" s="255">
        <v>324</v>
      </c>
      <c r="U108" s="255">
        <v>1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2785</v>
      </c>
      <c r="O109" s="317" t="s">
        <v>30</v>
      </c>
      <c r="P109" s="253">
        <v>44756</v>
      </c>
      <c r="Q109" s="254"/>
      <c r="R109" s="252" t="s">
        <v>28</v>
      </c>
      <c r="S109" s="255">
        <v>240</v>
      </c>
      <c r="T109" s="255">
        <v>240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2786</v>
      </c>
      <c r="O110" s="252" t="s">
        <v>238</v>
      </c>
      <c r="P110" s="253">
        <v>44753</v>
      </c>
      <c r="Q110" s="254"/>
      <c r="R110" s="252" t="s">
        <v>18</v>
      </c>
      <c r="S110" s="255">
        <v>1000</v>
      </c>
      <c r="T110" s="255">
        <v>528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2787</v>
      </c>
      <c r="O111" s="252" t="s">
        <v>24</v>
      </c>
      <c r="P111" s="253">
        <v>44756</v>
      </c>
      <c r="Q111" s="254"/>
      <c r="R111" s="252" t="s">
        <v>25</v>
      </c>
      <c r="S111" s="255">
        <v>360</v>
      </c>
      <c r="T111" s="255">
        <v>312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44760</v>
      </c>
      <c r="N112" s="252" t="s">
        <v>2761</v>
      </c>
      <c r="O112" s="97" t="s">
        <v>2766</v>
      </c>
      <c r="P112" s="253">
        <v>44736</v>
      </c>
      <c r="Q112" s="269"/>
      <c r="R112" s="252" t="s">
        <v>18</v>
      </c>
      <c r="S112" s="255">
        <v>300</v>
      </c>
      <c r="T112" s="255">
        <v>84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2789</v>
      </c>
      <c r="O113" s="252" t="s">
        <v>231</v>
      </c>
      <c r="P113" s="253">
        <v>44757</v>
      </c>
      <c r="Q113" s="254"/>
      <c r="R113" s="252" t="s">
        <v>18</v>
      </c>
      <c r="S113" s="255">
        <v>360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2791</v>
      </c>
      <c r="O114" s="97" t="s">
        <v>2790</v>
      </c>
      <c r="P114" s="253">
        <v>44757</v>
      </c>
      <c r="Q114" s="269"/>
      <c r="R114" s="252" t="s">
        <v>28</v>
      </c>
      <c r="S114" s="255">
        <v>240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2792</v>
      </c>
      <c r="O115" s="317" t="s">
        <v>1306</v>
      </c>
      <c r="P115" s="253">
        <v>44757</v>
      </c>
      <c r="Q115" s="269"/>
      <c r="R115" s="252" t="s">
        <v>28</v>
      </c>
      <c r="S115" s="255">
        <v>600</v>
      </c>
      <c r="T115" s="255">
        <v>90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Adadas Hài Ngang</v>
      </c>
      <c r="C116" s="9"/>
      <c r="D116" s="9"/>
      <c r="E116" s="9"/>
      <c r="F116" s="9"/>
      <c r="G116" s="13"/>
      <c r="H116" s="13"/>
      <c r="I116" s="13"/>
      <c r="J116" s="9"/>
      <c r="N116" s="252" t="s">
        <v>2793</v>
      </c>
      <c r="O116" s="97" t="s">
        <v>1127</v>
      </c>
      <c r="P116" s="253">
        <v>44754</v>
      </c>
      <c r="Q116" s="269"/>
      <c r="R116" s="252" t="s">
        <v>135</v>
      </c>
      <c r="S116" s="255">
        <v>120</v>
      </c>
      <c r="T116" s="255">
        <v>48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Tommy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 Trơn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Woada LK-802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Kid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Đá banh Xịn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Tomy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CK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TT Dày CC Adadas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tay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Ống tay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Ống tay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TH NC viền 2 su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39" t="s">
        <v>527</v>
      </c>
      <c r="B1" s="340"/>
      <c r="C1" s="129"/>
      <c r="D1" s="339" t="s">
        <v>396</v>
      </c>
      <c r="E1" s="340"/>
      <c r="F1" s="129"/>
      <c r="G1" s="339" t="s">
        <v>390</v>
      </c>
      <c r="H1" s="340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7" t="s">
        <v>351</v>
      </c>
      <c r="B15" s="338"/>
      <c r="D15" s="337" t="s">
        <v>351</v>
      </c>
      <c r="E15" s="338"/>
      <c r="G15" s="337" t="s">
        <v>351</v>
      </c>
      <c r="H15" s="338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39" t="s">
        <v>247</v>
      </c>
      <c r="B17" s="340"/>
      <c r="C17" s="129"/>
      <c r="D17" s="339" t="s">
        <v>246</v>
      </c>
      <c r="E17" s="340"/>
      <c r="F17" s="129"/>
      <c r="G17" s="339" t="s">
        <v>1129</v>
      </c>
      <c r="H17" s="340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7" t="s">
        <v>351</v>
      </c>
      <c r="B31" s="338"/>
      <c r="D31" s="337" t="s">
        <v>351</v>
      </c>
      <c r="E31" s="338"/>
      <c r="G31" s="337" t="s">
        <v>351</v>
      </c>
      <c r="H31" s="338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2595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2596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2597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1" t="s">
        <v>900</v>
      </c>
      <c r="E1" s="341"/>
      <c r="F1" s="341"/>
      <c r="J1" s="341" t="s">
        <v>901</v>
      </c>
      <c r="K1" s="341"/>
      <c r="L1" s="341"/>
      <c r="M1" s="341"/>
    </row>
    <row r="2" spans="1:16" x14ac:dyDescent="0.35">
      <c r="A2" t="s">
        <v>2332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1" t="s">
        <v>900</v>
      </c>
      <c r="E18" s="341"/>
      <c r="F18" s="341"/>
      <c r="J18" s="341" t="s">
        <v>901</v>
      </c>
      <c r="K18" s="341"/>
      <c r="L18" s="341"/>
      <c r="M18" s="341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1" t="s">
        <v>900</v>
      </c>
      <c r="E35" s="341"/>
      <c r="F35" s="341"/>
      <c r="J35" s="341" t="s">
        <v>901</v>
      </c>
      <c r="K35" s="341"/>
      <c r="L35" s="341"/>
      <c r="M35" s="341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3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4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5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7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6"/>
      <c r="D4" s="106"/>
      <c r="E4" s="29"/>
      <c r="F4" s="29">
        <v>144</v>
      </c>
      <c r="G4" s="29">
        <f>COUNTIF(Table132128[Kim],F4)</f>
        <v>22</v>
      </c>
      <c r="H4" s="29"/>
      <c r="I4" s="29"/>
      <c r="J4" s="348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8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7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6"/>
      <c r="D5" s="106"/>
      <c r="E5" s="29"/>
      <c r="F5" s="29"/>
      <c r="G5" s="29"/>
      <c r="H5" s="29"/>
      <c r="I5" s="29"/>
      <c r="J5" s="348"/>
      <c r="K5" s="29"/>
      <c r="L5" s="29"/>
      <c r="M5" s="29"/>
      <c r="N5" s="29"/>
      <c r="O5" s="112"/>
      <c r="P5" s="29"/>
      <c r="Q5" s="29"/>
      <c r="R5" s="29"/>
      <c r="S5" s="29"/>
      <c r="T5" s="348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7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6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8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8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7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6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8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8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7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6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8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8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7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6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8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8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7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6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8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8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7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6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8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8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7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6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8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8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7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6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8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8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7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6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8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8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7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6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8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8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7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6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8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8"/>
      <c r="U16" s="13">
        <v>200</v>
      </c>
      <c r="V16" s="36" t="s">
        <v>91</v>
      </c>
      <c r="W16" s="48"/>
      <c r="X16" s="48"/>
      <c r="Y16" s="348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7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6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8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8"/>
      <c r="U17" s="13">
        <v>144</v>
      </c>
      <c r="V17" s="36" t="s">
        <v>90</v>
      </c>
      <c r="W17" s="48"/>
      <c r="X17" s="48"/>
      <c r="Y17" s="348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7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6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8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8"/>
      <c r="U18" s="121"/>
      <c r="V18" s="122"/>
      <c r="W18" s="123"/>
      <c r="X18" s="123"/>
      <c r="Y18" s="348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7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6"/>
      <c r="D19" s="29" t="s">
        <v>307</v>
      </c>
      <c r="E19" s="29" t="s">
        <v>295</v>
      </c>
      <c r="F19" s="29"/>
      <c r="G19" s="29"/>
      <c r="H19" s="29"/>
      <c r="I19" s="29"/>
      <c r="J19" s="348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8"/>
      <c r="U19" s="121"/>
      <c r="V19" s="122"/>
      <c r="W19" s="125"/>
      <c r="X19" s="125"/>
      <c r="Y19" s="348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7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6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8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8"/>
      <c r="U20" s="13">
        <v>144</v>
      </c>
      <c r="V20" s="36" t="s">
        <v>88</v>
      </c>
      <c r="W20" s="48"/>
      <c r="X20" s="48"/>
      <c r="Y20" s="348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7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6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8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8"/>
      <c r="U21" s="13">
        <v>144</v>
      </c>
      <c r="V21" s="36" t="s">
        <v>85</v>
      </c>
      <c r="W21" s="48"/>
      <c r="X21" s="48"/>
      <c r="Y21" s="348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7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6"/>
      <c r="D22" s="106"/>
      <c r="J22" s="348"/>
      <c r="O22" s="112"/>
      <c r="T22" s="348"/>
      <c r="Y22" s="348"/>
      <c r="AE22" s="347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2" t="s">
        <v>284</v>
      </c>
      <c r="B23" s="342"/>
      <c r="C23" s="342"/>
      <c r="D23" s="342"/>
      <c r="E23" s="342"/>
      <c r="F23" s="342"/>
      <c r="G23" s="342"/>
      <c r="H23" s="342"/>
      <c r="I23" s="342"/>
      <c r="J23" s="342"/>
      <c r="K23" s="342"/>
      <c r="L23" s="342"/>
      <c r="M23" s="342"/>
      <c r="N23" s="342"/>
      <c r="O23" s="342"/>
      <c r="P23" s="342"/>
      <c r="Q23" s="342"/>
      <c r="R23" s="342"/>
      <c r="S23" s="342"/>
      <c r="T23" s="342"/>
      <c r="U23" s="342"/>
      <c r="V23" s="342"/>
      <c r="W23" s="342"/>
      <c r="X23" s="342"/>
      <c r="Y23" s="342"/>
      <c r="Z23" s="342"/>
      <c r="AA23" s="342"/>
      <c r="AB23" s="342"/>
      <c r="AC23" s="342"/>
      <c r="AD23" s="342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2"/>
      <c r="B24" s="342"/>
      <c r="C24" s="342"/>
      <c r="D24" s="342"/>
      <c r="E24" s="342"/>
      <c r="F24" s="342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2296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2022-07-08T07:46:41Z</cp:lastPrinted>
  <dcterms:created xsi:type="dcterms:W3CDTF">2020-07-02T10:10:14Z</dcterms:created>
  <dcterms:modified xsi:type="dcterms:W3CDTF">2022-07-18T06:02:59Z</dcterms:modified>
</cp:coreProperties>
</file>