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0" documentId="13_ncr:1_{89D53182-7257-4CA1-AA9D-48A51B0BF85A}" xr6:coauthVersionLast="47" xr6:coauthVersionMax="47" xr10:uidLastSave="{00000000-0000-0000-0000-000000000000}"/>
  <bookViews>
    <workbookView xWindow="30" yWindow="15" windowWidth="20370" windowHeight="10905" activeTab="2" xr2:uid="{00000000-000D-0000-FFFF-FFFF00000000}"/>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12" i="6" l="1"/>
  <c r="Q6" i="11"/>
  <c r="O6" i="11"/>
  <c r="N6" i="11"/>
  <c r="M6" i="11"/>
  <c r="Q5" i="11"/>
  <c r="O5" i="11"/>
  <c r="N5" i="11"/>
  <c r="M5" i="11"/>
  <c r="Q4" i="11"/>
  <c r="O4" i="11"/>
  <c r="N4" i="11"/>
  <c r="M4" i="11"/>
  <c r="P4" i="11" s="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P5" i="11" l="1"/>
  <c r="P2" i="11"/>
  <c r="P3" i="11"/>
  <c r="P6" i="11"/>
  <c r="P7" i="11"/>
  <c r="P8" i="11"/>
  <c r="P9" i="11"/>
  <c r="P10" i="11"/>
  <c r="P11" i="11"/>
  <c r="E11" i="6"/>
  <c r="E12" i="6"/>
  <c r="U5" i="7" l="1"/>
  <c r="J13" i="6"/>
  <c r="I12" i="6"/>
  <c r="D12" i="6"/>
  <c r="D13" i="6" l="1"/>
  <c r="J12" i="6" s="1"/>
  <c r="H12" i="6" s="1"/>
  <c r="A10" i="6" l="1"/>
  <c r="I14" i="6" l="1"/>
  <c r="J15" i="6"/>
  <c r="D15" i="6"/>
  <c r="D14" i="6"/>
  <c r="J14" i="6" l="1"/>
  <c r="H14" i="6" s="1"/>
  <c r="G18" i="6"/>
  <c r="G37" i="6"/>
  <c r="E17" i="6" l="1"/>
  <c r="D17" i="6" s="1"/>
  <c r="D16" i="6"/>
  <c r="I16" i="6"/>
  <c r="J17" i="6" l="1"/>
  <c r="J16" i="6" s="1"/>
  <c r="H16"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M3" i="7"/>
  <c r="D10" i="6"/>
  <c r="Q16" i="11" l="1"/>
  <c r="O16" i="11"/>
  <c r="N16" i="11"/>
  <c r="M16" i="11"/>
  <c r="Q15" i="11"/>
  <c r="O15" i="11"/>
  <c r="N15" i="11"/>
  <c r="M15" i="11"/>
  <c r="Q14" i="11"/>
  <c r="O14" i="11"/>
  <c r="N14" i="11"/>
  <c r="M14" i="11"/>
  <c r="Q13" i="11"/>
  <c r="O13" i="11"/>
  <c r="N13" i="11"/>
  <c r="M13" i="11"/>
  <c r="Q12" i="11"/>
  <c r="O12" i="11"/>
  <c r="N12" i="11"/>
  <c r="M12" i="11"/>
  <c r="C32" i="7"/>
  <c r="P14" i="11" l="1"/>
  <c r="P15" i="11"/>
  <c r="P16" i="11"/>
  <c r="P12" i="11"/>
  <c r="P13" i="11"/>
  <c r="D11" i="6" l="1"/>
  <c r="V5" i="7" l="1"/>
  <c r="C33" i="7" l="1"/>
  <c r="F33" i="7"/>
  <c r="F34" i="7" l="1"/>
  <c r="U4" i="7" l="1"/>
  <c r="F35" i="7"/>
  <c r="C35" i="7"/>
  <c r="G30" i="7" l="1"/>
  <c r="G31" i="7"/>
  <c r="G6" i="7"/>
  <c r="G29" i="7"/>
  <c r="G32" i="7"/>
  <c r="G33" i="7"/>
  <c r="I10" i="6" l="1"/>
  <c r="J11" i="6" l="1"/>
  <c r="K11" i="6" s="1"/>
  <c r="Q21" i="11"/>
  <c r="O21" i="11"/>
  <c r="N21" i="11"/>
  <c r="M21" i="11"/>
  <c r="Q20" i="11"/>
  <c r="O20" i="11"/>
  <c r="N20" i="11"/>
  <c r="M20" i="11"/>
  <c r="Q19" i="11"/>
  <c r="O19" i="11"/>
  <c r="N19" i="11"/>
  <c r="M19" i="11"/>
  <c r="Q18" i="11"/>
  <c r="O18" i="11"/>
  <c r="N18" i="11"/>
  <c r="M18" i="11"/>
  <c r="Q17" i="11"/>
  <c r="O17" i="11"/>
  <c r="N17" i="11"/>
  <c r="M17" i="11"/>
  <c r="I11" i="6" l="1"/>
  <c r="J10" i="6" s="1"/>
  <c r="P18" i="11"/>
  <c r="P19" i="11"/>
  <c r="P20" i="11"/>
  <c r="P17" i="11"/>
  <c r="P21" i="11"/>
  <c r="H10" i="6" l="1"/>
  <c r="G40" i="7" l="1"/>
  <c r="C41" i="7"/>
  <c r="L26" i="11" l="1"/>
  <c r="C42" i="7"/>
  <c r="Q26" i="11" l="1"/>
  <c r="O26" i="11"/>
  <c r="N26" i="11"/>
  <c r="M26" i="11"/>
  <c r="Q25" i="11"/>
  <c r="O25" i="11"/>
  <c r="N25" i="11"/>
  <c r="M25" i="11"/>
  <c r="Q24" i="11"/>
  <c r="O24" i="11"/>
  <c r="N24" i="11"/>
  <c r="M24" i="11"/>
  <c r="Q23" i="11"/>
  <c r="O23" i="11"/>
  <c r="N23" i="11"/>
  <c r="M23" i="11"/>
  <c r="Q22" i="11"/>
  <c r="O22" i="11"/>
  <c r="N22" i="11"/>
  <c r="M22" i="11"/>
  <c r="P23" i="11" l="1"/>
  <c r="P24" i="11"/>
  <c r="P25" i="11"/>
  <c r="P22" i="11"/>
  <c r="P26" i="11"/>
  <c r="L29" i="11" l="1"/>
  <c r="L28" i="11"/>
  <c r="F44" i="7"/>
  <c r="C44" i="7"/>
  <c r="G34" i="7" l="1"/>
  <c r="G35" i="7"/>
  <c r="G38" i="7"/>
  <c r="G39" i="7"/>
  <c r="G4" i="7"/>
  <c r="G5" i="7"/>
  <c r="G36" i="7"/>
  <c r="G37" i="7"/>
  <c r="G41" i="7"/>
  <c r="F46" i="7"/>
  <c r="E22" i="6"/>
  <c r="L31" i="11"/>
  <c r="Q31" i="11"/>
  <c r="O31" i="11"/>
  <c r="N31" i="11"/>
  <c r="M31" i="11"/>
  <c r="Q30" i="11"/>
  <c r="O30" i="11"/>
  <c r="N30" i="11"/>
  <c r="M30" i="11"/>
  <c r="Q29" i="11"/>
  <c r="O29" i="11"/>
  <c r="N29" i="11"/>
  <c r="M29" i="11"/>
  <c r="Q28" i="11"/>
  <c r="O28" i="11"/>
  <c r="N28" i="11"/>
  <c r="M28" i="11"/>
  <c r="Q27" i="11"/>
  <c r="O27" i="11"/>
  <c r="N27" i="11"/>
  <c r="M27" i="11"/>
  <c r="C50" i="7"/>
  <c r="L32" i="11"/>
  <c r="P31" i="11" l="1"/>
  <c r="P28" i="11"/>
  <c r="P30" i="11"/>
  <c r="P27" i="11"/>
  <c r="P29" i="11"/>
  <c r="L34" i="11"/>
  <c r="L33" i="11"/>
  <c r="M4" i="7"/>
  <c r="U3" i="7" s="1"/>
  <c r="V3" i="7" s="1"/>
  <c r="L36" i="11" l="1"/>
  <c r="G45" i="7"/>
  <c r="G46" i="7"/>
  <c r="G49" i="7"/>
  <c r="G43" i="7"/>
  <c r="G44" i="7"/>
  <c r="G47" i="7"/>
  <c r="G48" i="7"/>
  <c r="O9" i="6"/>
  <c r="F52" i="7"/>
  <c r="C52" i="7" l="1"/>
  <c r="L37" i="11"/>
  <c r="L38" i="11"/>
  <c r="L39" i="11"/>
  <c r="Q42" i="11"/>
  <c r="Q43" i="11"/>
  <c r="Q44" i="11"/>
  <c r="Q45" i="11"/>
  <c r="Q46" i="11"/>
  <c r="Q47" i="11"/>
  <c r="Q48" i="11"/>
  <c r="Q49" i="11"/>
  <c r="Q50" i="11"/>
  <c r="Q51" i="11"/>
  <c r="Q52" i="11"/>
  <c r="Q53" i="11"/>
  <c r="Q54" i="11"/>
  <c r="Q55" i="11"/>
  <c r="Q56" i="11"/>
  <c r="Q57" i="11"/>
  <c r="Q58" i="11"/>
  <c r="Q59" i="11"/>
  <c r="Q60" i="11"/>
  <c r="Q38" i="11"/>
  <c r="Q39" i="11"/>
  <c r="Q40" i="11"/>
  <c r="Q41" i="11"/>
  <c r="Q37" i="11"/>
  <c r="Q32" i="11"/>
  <c r="Q33" i="11"/>
  <c r="Q34" i="11"/>
  <c r="Q35" i="11"/>
  <c r="Q36" i="11"/>
  <c r="I59" i="7"/>
  <c r="I54" i="7"/>
  <c r="I55" i="7"/>
  <c r="I56" i="7"/>
  <c r="I57" i="7"/>
  <c r="I58" i="7"/>
  <c r="I53" i="7"/>
  <c r="I52" i="7"/>
  <c r="O36" i="11" l="1"/>
  <c r="N36" i="11"/>
  <c r="M36" i="11"/>
  <c r="O35" i="11"/>
  <c r="N35" i="11"/>
  <c r="M35" i="11"/>
  <c r="O34" i="11"/>
  <c r="N34" i="11"/>
  <c r="M34" i="11"/>
  <c r="O33" i="11"/>
  <c r="N33" i="11"/>
  <c r="M33" i="11"/>
  <c r="O32" i="11"/>
  <c r="N32" i="11"/>
  <c r="M32" i="11"/>
  <c r="N3" i="6"/>
  <c r="C53" i="7"/>
  <c r="F53" i="7"/>
  <c r="P35" i="11" l="1"/>
  <c r="P33" i="11"/>
  <c r="P32" i="11"/>
  <c r="P34" i="11"/>
  <c r="P36" i="11"/>
  <c r="J21" i="6"/>
  <c r="D21" i="6"/>
  <c r="D20" i="6"/>
  <c r="I20" i="6"/>
  <c r="I21" i="6" s="1"/>
  <c r="F54" i="7"/>
  <c r="C54" i="7"/>
  <c r="J20" i="6" l="1"/>
  <c r="G55" i="7"/>
  <c r="H20" i="6" l="1"/>
  <c r="F23" i="6"/>
  <c r="O41" i="11"/>
  <c r="N41" i="11"/>
  <c r="M41" i="11"/>
  <c r="O40" i="11"/>
  <c r="N40" i="11"/>
  <c r="M40" i="11"/>
  <c r="O39" i="11"/>
  <c r="N39" i="11"/>
  <c r="M39" i="11"/>
  <c r="O38" i="11"/>
  <c r="N38" i="11"/>
  <c r="M38" i="11"/>
  <c r="O37" i="11"/>
  <c r="N37" i="11"/>
  <c r="M37" i="11"/>
  <c r="F56" i="7"/>
  <c r="C56" i="7"/>
  <c r="P37" i="11" l="1"/>
  <c r="P38" i="11"/>
  <c r="P39" i="11"/>
  <c r="P40" i="11"/>
  <c r="P41" i="11"/>
  <c r="O46" i="11"/>
  <c r="N46" i="11"/>
  <c r="M46" i="11"/>
  <c r="O45" i="11"/>
  <c r="N45" i="11"/>
  <c r="M45" i="11"/>
  <c r="O44" i="11"/>
  <c r="N44" i="11"/>
  <c r="M44" i="11"/>
  <c r="O43" i="11"/>
  <c r="N43" i="11"/>
  <c r="M43" i="11"/>
  <c r="O42" i="11"/>
  <c r="N42" i="11"/>
  <c r="M42" i="11"/>
  <c r="F57" i="7"/>
  <c r="C57" i="7"/>
  <c r="P46" i="11" l="1"/>
  <c r="P44" i="11"/>
  <c r="P45" i="11"/>
  <c r="P43" i="11"/>
  <c r="P42" i="11"/>
  <c r="J23" i="6"/>
  <c r="K23" i="6" s="1"/>
  <c r="D23" i="6"/>
  <c r="D22" i="6"/>
  <c r="I22" i="6"/>
  <c r="I23" i="6" l="1"/>
  <c r="J22" i="6" l="1"/>
  <c r="H22" i="6" s="1"/>
  <c r="G3" i="7" l="1"/>
  <c r="G42" i="7"/>
  <c r="G50" i="7"/>
  <c r="G52" i="7"/>
  <c r="G53" i="7"/>
  <c r="G54" i="7"/>
  <c r="G56" i="7"/>
  <c r="G57" i="7"/>
  <c r="G58" i="7"/>
  <c r="G59" i="7"/>
  <c r="M5" i="7" l="1"/>
  <c r="O69" i="11"/>
  <c r="N69" i="11"/>
  <c r="M69" i="11"/>
  <c r="P15" i="6" l="1"/>
  <c r="I27" i="6" l="1"/>
  <c r="D24" i="6"/>
  <c r="J25" i="6"/>
  <c r="D25" i="6"/>
  <c r="I24" i="6"/>
  <c r="I25" i="6" l="1"/>
  <c r="J24" i="6" s="1"/>
  <c r="H24" i="6" s="1"/>
  <c r="O47" i="11" l="1"/>
  <c r="N47" i="11"/>
  <c r="M47" i="11"/>
  <c r="O48" i="11"/>
  <c r="N48" i="11"/>
  <c r="M48" i="11"/>
  <c r="O49" i="11"/>
  <c r="N49" i="11"/>
  <c r="M49" i="11"/>
  <c r="O50" i="11"/>
  <c r="N50" i="11"/>
  <c r="M50" i="11"/>
  <c r="O51" i="11"/>
  <c r="N51" i="11"/>
  <c r="M51" i="11"/>
  <c r="O52" i="11"/>
  <c r="N52" i="11"/>
  <c r="M52" i="11"/>
  <c r="O53" i="11"/>
  <c r="N53" i="11"/>
  <c r="M53" i="11"/>
  <c r="M2" i="7"/>
  <c r="M6" i="7" s="1"/>
  <c r="P47" i="11" l="1"/>
  <c r="P52" i="11"/>
  <c r="P48" i="11"/>
  <c r="P50" i="11"/>
  <c r="P51" i="11"/>
  <c r="P49" i="11"/>
  <c r="P53" i="11"/>
  <c r="M8" i="7"/>
  <c r="R28" i="7"/>
  <c r="R30" i="7"/>
  <c r="S21" i="7"/>
  <c r="S20" i="7"/>
  <c r="D26" i="6" l="1"/>
  <c r="J26" i="6" s="1"/>
  <c r="O68" i="11" l="1"/>
  <c r="N68" i="11"/>
  <c r="M68" i="11"/>
  <c r="O67" i="11"/>
  <c r="N67" i="11"/>
  <c r="M67" i="11"/>
  <c r="O66" i="11"/>
  <c r="N66" i="11"/>
  <c r="M66" i="11"/>
  <c r="O65" i="11"/>
  <c r="N65" i="11"/>
  <c r="M65" i="11"/>
  <c r="O64" i="11"/>
  <c r="N64" i="11"/>
  <c r="M64" i="11"/>
  <c r="O63" i="11"/>
  <c r="N63" i="11"/>
  <c r="M63" i="11"/>
  <c r="O62" i="11"/>
  <c r="N62" i="11"/>
  <c r="M62" i="11"/>
  <c r="O61" i="11"/>
  <c r="N61" i="11"/>
  <c r="M61" i="11"/>
  <c r="O60" i="11"/>
  <c r="N60" i="11"/>
  <c r="M60" i="11"/>
  <c r="O59" i="11"/>
  <c r="N59" i="11"/>
  <c r="M59" i="11"/>
  <c r="O58" i="11"/>
  <c r="N58" i="11"/>
  <c r="M58" i="11"/>
  <c r="O57" i="11"/>
  <c r="N57" i="11"/>
  <c r="M57" i="11"/>
  <c r="O56" i="11"/>
  <c r="N56" i="11"/>
  <c r="M56" i="11"/>
  <c r="O55" i="11"/>
  <c r="O54" i="11"/>
  <c r="N55" i="11"/>
  <c r="M55" i="11"/>
  <c r="N54" i="11"/>
  <c r="M54" i="11"/>
  <c r="J29" i="6"/>
  <c r="P14" i="6"/>
  <c r="D30" i="6"/>
  <c r="J30" i="6" s="1"/>
  <c r="P59" i="11" l="1"/>
  <c r="P58" i="11"/>
  <c r="P54" i="11"/>
  <c r="P57" i="11"/>
  <c r="P55" i="11"/>
  <c r="P56" i="11"/>
  <c r="P60" i="11"/>
  <c r="J28" i="6"/>
  <c r="K28" i="6" s="1"/>
  <c r="D28" i="6"/>
  <c r="D27" i="6"/>
  <c r="I28" i="6" l="1"/>
  <c r="J27" i="6" s="1"/>
  <c r="D34" i="6"/>
  <c r="D35" i="6"/>
  <c r="H27" i="6" l="1"/>
  <c r="J36" i="6"/>
  <c r="J132" i="6"/>
  <c r="J70" i="6"/>
  <c r="E38" i="6" l="1"/>
  <c r="K39" i="6" l="1"/>
  <c r="D39" i="6" l="1"/>
  <c r="I38" i="6"/>
  <c r="D38" i="6"/>
  <c r="E54" i="6"/>
  <c r="J41" i="6"/>
  <c r="D41" i="6"/>
  <c r="I40" i="6"/>
  <c r="I41" i="6" s="1"/>
  <c r="D40" i="6"/>
  <c r="E55" i="6"/>
  <c r="E43" i="6"/>
  <c r="D43" i="6" s="1"/>
  <c r="I42" i="6"/>
  <c r="I43" i="6" s="1"/>
  <c r="D42" i="6"/>
  <c r="E44" i="6"/>
  <c r="D44" i="6" s="1"/>
  <c r="E45" i="6"/>
  <c r="J45" i="6" s="1"/>
  <c r="I44" i="6"/>
  <c r="I45" i="6" s="1"/>
  <c r="D45" i="6" l="1"/>
  <c r="J44" i="6" s="1"/>
  <c r="H44" i="6" s="1"/>
  <c r="J39" i="6"/>
  <c r="I39" i="6" s="1"/>
  <c r="J38" i="6" s="1"/>
  <c r="H38" i="6" s="1"/>
  <c r="J43" i="6"/>
  <c r="J40" i="6"/>
  <c r="H40" i="6" s="1"/>
  <c r="J42" i="6"/>
  <c r="H42" i="6" s="1"/>
  <c r="J47" i="6" l="1"/>
  <c r="D47" i="6"/>
  <c r="D46" i="6"/>
  <c r="I46" i="6"/>
  <c r="I47" i="6" s="1"/>
  <c r="J46" i="6" l="1"/>
  <c r="H46" i="6" s="1"/>
  <c r="J49" i="6"/>
  <c r="D49" i="6"/>
  <c r="D48" i="6"/>
  <c r="I48" i="6"/>
  <c r="I49" i="6" s="1"/>
  <c r="J51" i="6"/>
  <c r="D51" i="6"/>
  <c r="D50" i="6"/>
  <c r="I50" i="6"/>
  <c r="I51" i="6" s="1"/>
  <c r="E67" i="6"/>
  <c r="J53" i="6"/>
  <c r="D53" i="6"/>
  <c r="I52" i="6"/>
  <c r="I53" i="6" s="1"/>
  <c r="D52" i="6"/>
  <c r="J48" i="6" l="1"/>
  <c r="H48" i="6" s="1"/>
  <c r="J50" i="6"/>
  <c r="H50" i="6" s="1"/>
  <c r="J52" i="6"/>
  <c r="H52" i="6" s="1"/>
  <c r="D54" i="6" l="1"/>
  <c r="D55" i="6"/>
  <c r="J55" i="6"/>
  <c r="I54" i="6"/>
  <c r="I56" i="6"/>
  <c r="I57" i="6" s="1"/>
  <c r="J57" i="6"/>
  <c r="D57" i="6"/>
  <c r="D56" i="6"/>
  <c r="E68" i="6"/>
  <c r="I55" i="6" l="1"/>
  <c r="J54" i="6" s="1"/>
  <c r="H54" i="6" s="1"/>
  <c r="J56" i="6"/>
  <c r="H56" i="6" l="1"/>
  <c r="J60" i="6" l="1"/>
  <c r="D60" i="6"/>
  <c r="I59" i="6"/>
  <c r="I60" i="6" s="1"/>
  <c r="D59" i="6"/>
  <c r="I61" i="6"/>
  <c r="I62" i="6" s="1"/>
  <c r="J62" i="6"/>
  <c r="D62" i="6"/>
  <c r="D61" i="6"/>
  <c r="D63" i="6"/>
  <c r="D64" i="6"/>
  <c r="D68" i="6"/>
  <c r="J64" i="6"/>
  <c r="I63" i="6"/>
  <c r="I64" i="6" s="1"/>
  <c r="D65" i="6"/>
  <c r="D66" i="6"/>
  <c r="D67" i="6"/>
  <c r="D70" i="6"/>
  <c r="D71" i="6"/>
  <c r="D72" i="6"/>
  <c r="D73" i="6"/>
  <c r="D74" i="6"/>
  <c r="D76" i="6"/>
  <c r="D77" i="6"/>
  <c r="D78" i="6"/>
  <c r="I65" i="6"/>
  <c r="I66" i="6" s="1"/>
  <c r="K68" i="6"/>
  <c r="J59" i="6" l="1"/>
  <c r="J61" i="6"/>
  <c r="H61" i="6" s="1"/>
  <c r="J63" i="6"/>
  <c r="H63" i="6" s="1"/>
  <c r="J65" i="6"/>
  <c r="H65" i="6" s="1"/>
  <c r="J66" i="6"/>
  <c r="I67" i="6"/>
  <c r="I68" i="6" s="1"/>
  <c r="J68" i="6"/>
  <c r="J69" i="6"/>
  <c r="I71" i="6"/>
  <c r="J72" i="6"/>
  <c r="K72" i="6"/>
  <c r="E75" i="6"/>
  <c r="D75" i="6" s="1"/>
  <c r="I75" i="6"/>
  <c r="I73" i="6"/>
  <c r="J74" i="6"/>
  <c r="J76" i="6"/>
  <c r="K76" i="6"/>
  <c r="J78" i="6"/>
  <c r="H59" i="6" l="1"/>
  <c r="J67" i="6"/>
  <c r="I72" i="6"/>
  <c r="J71" i="6" s="1"/>
  <c r="J75" i="6"/>
  <c r="J73" i="6"/>
  <c r="I77" i="6"/>
  <c r="K78" i="6"/>
  <c r="F81" i="6"/>
  <c r="E86" i="6"/>
  <c r="E87" i="6"/>
  <c r="I86" i="6"/>
  <c r="I87" i="6" s="1"/>
  <c r="T28" i="7"/>
  <c r="J87" i="6"/>
  <c r="H67" i="6" l="1"/>
  <c r="H71" i="6"/>
  <c r="H75" i="6"/>
  <c r="H73" i="6"/>
  <c r="I78" i="6"/>
  <c r="J77" i="6" s="1"/>
  <c r="T33" i="7"/>
  <c r="S35" i="7" s="1"/>
  <c r="S9" i="6"/>
  <c r="E84" i="6"/>
  <c r="D84" i="6" s="1"/>
  <c r="E85" i="6"/>
  <c r="D85" i="6" s="1"/>
  <c r="J85" i="6" s="1"/>
  <c r="K85" i="6" s="1"/>
  <c r="I84" i="6"/>
  <c r="H77" i="6" l="1"/>
  <c r="I85" i="6"/>
  <c r="D88" i="6"/>
  <c r="E88" i="6"/>
  <c r="I88" i="6"/>
  <c r="E91" i="6"/>
  <c r="D91" i="6" s="1"/>
  <c r="I89" i="6"/>
  <c r="K90" i="6"/>
  <c r="D90" i="6"/>
  <c r="J90" i="6" s="1"/>
  <c r="D89" i="6"/>
  <c r="I92" i="6"/>
  <c r="J93" i="6"/>
  <c r="D92" i="6"/>
  <c r="J92" i="6" s="1"/>
  <c r="I91" i="6"/>
  <c r="D93" i="6"/>
  <c r="I101" i="6"/>
  <c r="D95" i="6"/>
  <c r="D94" i="6"/>
  <c r="I94" i="6"/>
  <c r="O259" i="6"/>
  <c r="D97" i="6"/>
  <c r="J97" i="6" s="1"/>
  <c r="D96" i="6"/>
  <c r="I96" i="6"/>
  <c r="J88" i="6" l="1"/>
  <c r="J84" i="6"/>
  <c r="H84" i="6" s="1"/>
  <c r="I90" i="6"/>
  <c r="D86" i="6"/>
  <c r="J91" i="6"/>
  <c r="H91" i="6" s="1"/>
  <c r="J96" i="6"/>
  <c r="H96" i="6" s="1"/>
  <c r="J94" i="6"/>
  <c r="H94" i="6" s="1"/>
  <c r="J95" i="6"/>
  <c r="D99" i="6"/>
  <c r="D98" i="6"/>
  <c r="I98" i="6"/>
  <c r="I100" i="6"/>
  <c r="D101" i="6"/>
  <c r="J101" i="6" s="1"/>
  <c r="D100" i="6"/>
  <c r="J89" i="6" l="1"/>
  <c r="H89" i="6" s="1"/>
  <c r="J100" i="6"/>
  <c r="J98" i="6"/>
  <c r="H98" i="6" s="1"/>
  <c r="J99" i="6"/>
  <c r="I105" i="6"/>
  <c r="H100" i="6" l="1"/>
  <c r="I104" i="6"/>
  <c r="I102" i="6"/>
  <c r="D103" i="6"/>
  <c r="D102" i="6"/>
  <c r="D104" i="6"/>
  <c r="D105" i="6"/>
  <c r="J105" i="6" s="1"/>
  <c r="J102" i="6" l="1"/>
  <c r="H102" i="6" s="1"/>
  <c r="J103" i="6"/>
  <c r="J104" i="6"/>
  <c r="H104" i="6" l="1"/>
  <c r="A113" i="6"/>
  <c r="E107" i="6"/>
  <c r="D107" i="6" s="1"/>
  <c r="J107" i="6" s="1"/>
  <c r="D106" i="6"/>
  <c r="I106" i="6"/>
  <c r="J106" i="6" l="1"/>
  <c r="E109" i="6"/>
  <c r="D109" i="6" s="1"/>
  <c r="J109" i="6" s="1"/>
  <c r="E127" i="6"/>
  <c r="O12" i="6"/>
  <c r="D108" i="6"/>
  <c r="I108" i="6"/>
  <c r="I111" i="6"/>
  <c r="D110" i="6"/>
  <c r="H110" i="6"/>
  <c r="P253" i="6"/>
  <c r="H106" i="6" l="1"/>
  <c r="J108" i="6"/>
  <c r="H108" i="6" s="1"/>
  <c r="E111" i="6"/>
  <c r="D111" i="6" s="1"/>
  <c r="E112" i="6"/>
  <c r="D112" i="6" s="1"/>
  <c r="D114" i="6"/>
  <c r="D113" i="6"/>
  <c r="E115" i="6"/>
  <c r="J111" i="6" l="1"/>
  <c r="H111" i="6" s="1"/>
  <c r="J112" i="6"/>
  <c r="J114" i="6" l="1"/>
  <c r="I113" i="6"/>
  <c r="J113" i="6" l="1"/>
  <c r="E116" i="6"/>
  <c r="H113" i="6" l="1"/>
  <c r="I115" i="6"/>
  <c r="D116" i="6"/>
  <c r="J116" i="6" s="1"/>
  <c r="D115" i="6"/>
  <c r="D118" i="6"/>
  <c r="J118" i="6" s="1"/>
  <c r="I117" i="6"/>
  <c r="D117" i="6"/>
  <c r="J115" i="6" l="1"/>
  <c r="J117" i="6"/>
  <c r="H117" i="6" s="1"/>
  <c r="I120" i="6"/>
  <c r="O3" i="6" s="1"/>
  <c r="D120" i="6"/>
  <c r="J120" i="6" s="1"/>
  <c r="D119" i="6"/>
  <c r="I119" i="6"/>
  <c r="D121" i="6"/>
  <c r="J119" i="6" l="1"/>
  <c r="H115" i="6"/>
  <c r="E125" i="6"/>
  <c r="H119" i="6" l="1"/>
  <c r="I121" i="6"/>
  <c r="H121" i="6"/>
  <c r="D125" i="6"/>
  <c r="I130" i="6"/>
  <c r="D123" i="6"/>
  <c r="E126" i="6"/>
  <c r="D126" i="6" s="1"/>
  <c r="J126" i="6" s="1"/>
  <c r="E124" i="6"/>
  <c r="D124" i="6" s="1"/>
  <c r="I123" i="6"/>
  <c r="I125" i="6"/>
  <c r="E129" i="6"/>
  <c r="D129" i="6" s="1"/>
  <c r="O158" i="6"/>
  <c r="Q155" i="6"/>
  <c r="P158" i="6"/>
  <c r="O160" i="6"/>
  <c r="P160" i="6" s="1"/>
  <c r="R158" i="6" s="1"/>
  <c r="I127" i="6"/>
  <c r="D127" i="6"/>
  <c r="E128" i="6"/>
  <c r="D128" i="6" s="1"/>
  <c r="D131" i="6"/>
  <c r="I131" i="6"/>
  <c r="J131" i="6"/>
  <c r="H131" i="6" s="1"/>
  <c r="F133" i="6"/>
  <c r="D133" i="6" s="1"/>
  <c r="G133" i="6"/>
  <c r="I133" i="6"/>
  <c r="E134" i="6"/>
  <c r="F134" i="6"/>
  <c r="I134" i="6"/>
  <c r="E130" i="6"/>
  <c r="D130" i="6" s="1"/>
  <c r="J130" i="6" s="1"/>
  <c r="Q158" i="6"/>
  <c r="S131" i="6"/>
  <c r="Q157" i="6"/>
  <c r="R157" i="6" s="1"/>
  <c r="I129" i="6"/>
  <c r="D134" i="6" l="1"/>
  <c r="J134" i="6" s="1"/>
  <c r="Q156" i="6"/>
  <c r="R156" i="6" s="1"/>
  <c r="J127" i="6"/>
  <c r="J124" i="6"/>
  <c r="J123" i="6"/>
  <c r="J125" i="6"/>
  <c r="J129" i="6"/>
  <c r="H129" i="6" s="1"/>
  <c r="J128" i="6"/>
  <c r="J133" i="6" l="1"/>
  <c r="H133" i="6" s="1"/>
  <c r="H123" i="6"/>
  <c r="H127" i="6"/>
  <c r="H125" i="6"/>
  <c r="I135" i="6" l="1"/>
  <c r="E138" i="6"/>
  <c r="I153" i="6" l="1"/>
  <c r="I164" i="6"/>
  <c r="I154" i="6"/>
  <c r="I159" i="6"/>
  <c r="I171" i="6"/>
  <c r="I174" i="6"/>
  <c r="I167" i="6"/>
  <c r="I151" i="6"/>
  <c r="I149" i="6"/>
  <c r="I147" i="6"/>
  <c r="I145" i="6"/>
  <c r="I143" i="6"/>
  <c r="I141" i="6"/>
  <c r="I138" i="6"/>
  <c r="O10" i="6" l="1"/>
  <c r="D135" i="6"/>
  <c r="D136" i="6" l="1"/>
  <c r="J136" i="6" s="1"/>
  <c r="E139" i="6"/>
  <c r="J135" i="6" l="1"/>
  <c r="G138" i="6"/>
  <c r="H135" i="6" l="1"/>
  <c r="D139" i="6"/>
  <c r="J139" i="6" s="1"/>
  <c r="D138" i="6"/>
  <c r="J138" i="6" l="1"/>
  <c r="H138" i="6" s="1"/>
  <c r="E145" i="6"/>
  <c r="E143" i="6"/>
  <c r="D143" i="6" l="1"/>
  <c r="D142" i="6"/>
  <c r="J142" i="6" s="1"/>
  <c r="D141" i="6"/>
  <c r="D144" i="6"/>
  <c r="J144" i="6" s="1"/>
  <c r="D146" i="6"/>
  <c r="J146" i="6" s="1"/>
  <c r="D145" i="6"/>
  <c r="J141" i="6" l="1"/>
  <c r="J143" i="6"/>
  <c r="J145" i="6"/>
  <c r="H145" i="6" l="1"/>
  <c r="H143" i="6"/>
  <c r="H141" i="6"/>
  <c r="O5" i="6"/>
  <c r="D148" i="6"/>
  <c r="D147" i="6"/>
  <c r="D150" i="6"/>
  <c r="D149" i="6"/>
  <c r="D151" i="6"/>
  <c r="D152" i="6"/>
  <c r="D17" i="8"/>
  <c r="F17" i="8"/>
  <c r="E18" i="8" s="1"/>
  <c r="I19" i="8"/>
  <c r="E6" i="8"/>
  <c r="K7" i="8"/>
  <c r="K8" i="8"/>
  <c r="K9" i="8"/>
  <c r="K10" i="8"/>
  <c r="K11" i="8"/>
  <c r="K12" i="8"/>
  <c r="K13" i="8"/>
  <c r="K14" i="8"/>
  <c r="K15" i="8"/>
  <c r="K16" i="8"/>
  <c r="K17" i="8"/>
  <c r="J6" i="8"/>
  <c r="K6" i="8" s="1"/>
  <c r="D156" i="6"/>
  <c r="D154" i="6"/>
  <c r="D159" i="6"/>
  <c r="D164" i="6"/>
  <c r="D155" i="6"/>
  <c r="D157" i="6"/>
  <c r="D158" i="6"/>
  <c r="O11" i="6"/>
  <c r="D160" i="6"/>
  <c r="D161" i="6"/>
  <c r="D162" i="6"/>
  <c r="D163" i="6"/>
  <c r="D165" i="6"/>
  <c r="D166" i="6"/>
  <c r="D167" i="6"/>
  <c r="D168" i="6"/>
  <c r="D169" i="6"/>
  <c r="D18" i="8" l="1"/>
  <c r="F6" i="8"/>
  <c r="E7" i="8" s="1"/>
  <c r="F7" i="8" s="1"/>
  <c r="E8" i="8" s="1"/>
  <c r="F8" i="8" s="1"/>
  <c r="F18" i="8"/>
  <c r="D6" i="8"/>
  <c r="J147" i="6"/>
  <c r="J154" i="6"/>
  <c r="J156" i="6"/>
  <c r="J149" i="6"/>
  <c r="J151" i="6"/>
  <c r="K19" i="8"/>
  <c r="D153" i="6"/>
  <c r="J153" i="6" s="1"/>
  <c r="J164" i="6"/>
  <c r="J158" i="6"/>
  <c r="J159" i="6"/>
  <c r="J163" i="6"/>
  <c r="D7" i="8" l="1"/>
  <c r="D8" i="8" s="1"/>
  <c r="H163" i="6"/>
  <c r="H149" i="6"/>
  <c r="H159" i="6"/>
  <c r="H156" i="6"/>
  <c r="H153" i="6"/>
  <c r="H158" i="6"/>
  <c r="H154" i="6"/>
  <c r="H151" i="6"/>
  <c r="H147" i="6"/>
  <c r="E19" i="8"/>
  <c r="D19" i="8" s="1"/>
  <c r="E9" i="8"/>
  <c r="F9" i="8" s="1"/>
  <c r="H164" i="6"/>
  <c r="P3" i="6"/>
  <c r="D9" i="8" l="1"/>
  <c r="F19" i="8"/>
  <c r="E20" i="8" s="1"/>
  <c r="E10" i="8"/>
  <c r="F10" i="8" s="1"/>
  <c r="J167" i="6"/>
  <c r="P6" i="6"/>
  <c r="P12" i="6"/>
  <c r="F20" i="8" l="1"/>
  <c r="E21" i="8" s="1"/>
  <c r="D20" i="8"/>
  <c r="D10" i="8"/>
  <c r="H167" i="6"/>
  <c r="E11" i="8"/>
  <c r="D171" i="6"/>
  <c r="D11" i="8" l="1"/>
  <c r="F21" i="8"/>
  <c r="E22" i="8" s="1"/>
  <c r="D21" i="8"/>
  <c r="F11" i="8"/>
  <c r="E12" i="8" s="1"/>
  <c r="F12" i="8" s="1"/>
  <c r="P11" i="6"/>
  <c r="F22" i="8" l="1"/>
  <c r="E23" i="8" s="1"/>
  <c r="D22" i="8"/>
  <c r="D12" i="8"/>
  <c r="D172" i="6"/>
  <c r="J171" i="6" s="1"/>
  <c r="D174" i="6"/>
  <c r="D173" i="6"/>
  <c r="F23" i="8" l="1"/>
  <c r="D23" i="8"/>
  <c r="H171" i="6"/>
  <c r="D175" i="6"/>
  <c r="J174" i="6" s="1"/>
  <c r="H174" i="6" l="1"/>
  <c r="D176" i="6"/>
  <c r="P9" i="6" l="1"/>
  <c r="D177" i="6"/>
  <c r="D180" i="6" l="1"/>
  <c r="D181" i="6" l="1"/>
  <c r="D182" i="6"/>
  <c r="D183" i="6"/>
  <c r="D184" i="6" l="1"/>
  <c r="D186" i="6"/>
  <c r="D188" i="6"/>
  <c r="H189" i="6" l="1"/>
  <c r="D189" i="6"/>
  <c r="D191" i="6" l="1"/>
  <c r="D192" i="6" l="1"/>
  <c r="D194" i="6" l="1"/>
  <c r="D196" i="6" l="1"/>
  <c r="D197" i="6" l="1"/>
  <c r="D198" i="6" l="1"/>
  <c r="D199" i="6"/>
  <c r="D200" i="6" l="1"/>
  <c r="D201" i="6"/>
  <c r="D202" i="6" l="1"/>
  <c r="D203" i="6" l="1"/>
  <c r="D204" i="6"/>
  <c r="D205" i="6"/>
  <c r="D206" i="6"/>
  <c r="D207" i="6"/>
  <c r="D208" i="6"/>
  <c r="D209" i="6"/>
  <c r="D210" i="6" l="1"/>
  <c r="P5" i="6" l="1"/>
  <c r="P8" i="6" s="1"/>
  <c r="D212" i="6" l="1"/>
  <c r="H213" i="6" l="1"/>
  <c r="D213" i="6"/>
  <c r="D215" i="6" l="1"/>
  <c r="D216" i="6"/>
  <c r="D222" i="6" l="1"/>
  <c r="D221" i="6"/>
  <c r="D220" i="6"/>
  <c r="D218" i="6"/>
  <c r="D219" i="6" l="1"/>
  <c r="K218" i="6" s="1"/>
  <c r="D223" i="6" l="1"/>
  <c r="D224" i="6"/>
  <c r="D225" i="6"/>
  <c r="D228" i="6"/>
  <c r="D226" i="6" l="1"/>
  <c r="D227" i="6" l="1"/>
  <c r="G229" i="6" l="1"/>
  <c r="N4" i="6" s="1"/>
  <c r="D232" i="6" l="1"/>
  <c r="D233" i="6"/>
  <c r="D236" i="6" l="1"/>
  <c r="D237" i="6" l="1"/>
  <c r="D239" i="6" l="1"/>
  <c r="D240" i="6" l="1"/>
  <c r="D241" i="6" l="1"/>
  <c r="O242" i="6" l="1"/>
  <c r="Q239" i="6"/>
  <c r="Q240" i="6"/>
  <c r="O243" i="6"/>
  <c r="D242" i="6"/>
  <c r="D248" i="6" l="1"/>
  <c r="Q3" i="6" l="1"/>
  <c r="H260" i="6" l="1"/>
  <c r="H263" i="6"/>
  <c r="H264" i="6"/>
  <c r="H270" i="6"/>
  <c r="H266" i="6"/>
  <c r="H249" i="6"/>
  <c r="D249" i="6"/>
  <c r="D251" i="6" l="1"/>
  <c r="Q4" i="6" l="1"/>
  <c r="H252" i="6"/>
  <c r="D252" i="6"/>
  <c r="D254" i="6"/>
  <c r="D256" i="6"/>
  <c r="D258" i="6"/>
  <c r="D259" i="6"/>
  <c r="D260" i="6" l="1"/>
  <c r="D262" i="6"/>
  <c r="D261" i="6" l="1"/>
  <c r="D263" i="6" l="1"/>
  <c r="D264" i="6" l="1"/>
  <c r="D265" i="6" l="1"/>
  <c r="D266" i="6" l="1"/>
  <c r="H268" i="6"/>
  <c r="D268" i="6"/>
  <c r="D270" i="6" l="1"/>
  <c r="D272" i="6" l="1"/>
  <c r="D273" i="6" l="1"/>
  <c r="D274" i="6" l="1"/>
  <c r="D275" i="6" l="1"/>
  <c r="H275" i="6" l="1"/>
  <c r="H274" i="6" s="1"/>
  <c r="H273" i="6" s="1"/>
  <c r="H272" i="6" s="1"/>
  <c r="Q8" i="6"/>
  <c r="H281" i="6" l="1"/>
  <c r="H279" i="6"/>
  <c r="D87" i="6"/>
  <c r="N2" i="6" s="1"/>
  <c r="R31" i="7" l="1"/>
  <c r="J86" i="6"/>
  <c r="N6" i="6" s="1"/>
  <c r="O6" i="6" l="1"/>
  <c r="O8" i="6" s="1"/>
  <c r="R33" i="7"/>
  <c r="Q35" i="7" s="1"/>
  <c r="H86" i="6"/>
  <c r="O7" i="6" l="1"/>
  <c r="N5" i="6" s="1"/>
  <c r="N7" i="6" l="1"/>
  <c r="N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64" authorId="0" shapeId="0" xr:uid="{5B9400C5-352B-4E38-B418-46019A57ABBA}">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xr:uid="{4992EC16-83F0-4274-BB2E-8C87936ED916}">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84FFA54A-B8B6-466B-AF55-6989CCD19F93}">
      <text>
        <r>
          <rPr>
            <b/>
            <sz val="9"/>
            <color indexed="81"/>
            <rFont val="Tahoma"/>
            <family val="2"/>
          </rPr>
          <t>Author:</t>
        </r>
        <r>
          <rPr>
            <sz val="9"/>
            <color indexed="81"/>
            <rFont val="Tahoma"/>
            <family val="2"/>
          </rPr>
          <t xml:space="preserve">
0,6% trên mỗi 2 lượt giao dịch
M: 0,25%
B: 0,35% (0,1% thuế)</t>
        </r>
      </text>
    </comment>
    <comment ref="H2" authorId="0" shapeId="0" xr:uid="{E055B1DD-B3B4-4A30-B5A4-9A1FEE8925FB}">
      <text>
        <r>
          <rPr>
            <b/>
            <sz val="9"/>
            <color indexed="81"/>
            <rFont val="Tahoma"/>
            <family val="2"/>
          </rPr>
          <t>Author:
Đã bao gồm phí thuế 2 chiều 0,6%</t>
        </r>
      </text>
    </comment>
    <comment ref="O3" authorId="0" shapeId="0" xr:uid="{771007BD-7E5B-45A9-B1B4-232F6A784F17}">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xr:uid="{D8B01C7A-D581-47D3-9B8F-1CD7F54FAD98}">
      <text>
        <r>
          <rPr>
            <b/>
            <sz val="9"/>
            <color indexed="81"/>
            <rFont val="Tahoma"/>
            <family val="2"/>
          </rPr>
          <t>Author:</t>
        </r>
        <r>
          <rPr>
            <sz val="9"/>
            <color indexed="81"/>
            <rFont val="Tahoma"/>
            <family val="2"/>
          </rPr>
          <t xml:space="preserve">
356kk ứng trước 228tr ngày 25-12-20</t>
        </r>
      </text>
    </comment>
    <comment ref="M4" authorId="0" shapeId="0" xr:uid="{D3C5A39F-F808-4677-9587-33DD4D34F93E}">
      <text>
        <r>
          <rPr>
            <b/>
            <sz val="9"/>
            <color indexed="81"/>
            <rFont val="Tahoma"/>
            <family val="2"/>
          </rPr>
          <t>Author:</t>
        </r>
        <r>
          <rPr>
            <sz val="9"/>
            <color indexed="81"/>
            <rFont val="Tahoma"/>
            <family val="2"/>
          </rPr>
          <t xml:space="preserve">
30098214</t>
        </r>
      </text>
    </comment>
    <comment ref="N4" authorId="0" shapeId="0" xr:uid="{EB6C80F3-3780-4E47-AA7D-94139B6C6F8F}">
      <text>
        <r>
          <rPr>
            <b/>
            <sz val="9"/>
            <color indexed="81"/>
            <rFont val="Tahoma"/>
            <family val="2"/>
          </rPr>
          <t>Author:</t>
        </r>
        <r>
          <rPr>
            <sz val="9"/>
            <color indexed="81"/>
            <rFont val="Tahoma"/>
            <family val="2"/>
          </rPr>
          <t xml:space="preserve">
8-2-21: +20M</t>
        </r>
      </text>
    </comment>
    <comment ref="O4" authorId="0" shapeId="0" xr:uid="{5ED9CBCA-410D-4604-8288-55BB48B7EE98}">
      <text>
        <r>
          <rPr>
            <b/>
            <sz val="9"/>
            <color indexed="81"/>
            <rFont val="Tahoma"/>
            <family val="2"/>
          </rPr>
          <t>Author:</t>
        </r>
        <r>
          <rPr>
            <sz val="9"/>
            <color indexed="81"/>
            <rFont val="Tahoma"/>
            <family val="2"/>
          </rPr>
          <t xml:space="preserve">
8-2-21: +20M</t>
        </r>
      </text>
    </comment>
    <comment ref="M5" authorId="0" shapeId="0" xr:uid="{34BFE8B0-8B72-428C-B102-B9A4E976EFF7}">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xr:uid="{3789EE4B-BE20-4B5B-836B-7DD559C276AA}">
      <text>
        <r>
          <rPr>
            <b/>
            <sz val="9"/>
            <color indexed="81"/>
            <rFont val="Tahoma"/>
            <family val="2"/>
          </rPr>
          <t>Author:</t>
        </r>
        <r>
          <rPr>
            <sz val="9"/>
            <color indexed="81"/>
            <rFont val="Tahoma"/>
            <family val="2"/>
          </rPr>
          <t xml:space="preserve">
VCBS: 70M
SSI: 250M
  + 170M tự có
  + 80M mượn Má (15-12-20)</t>
        </r>
      </text>
    </comment>
    <comment ref="M6" authorId="0" shapeId="0" xr:uid="{9EC39504-4FEB-4ADF-8DB4-95B0F278A0FF}">
      <text>
        <r>
          <rPr>
            <b/>
            <sz val="9"/>
            <color indexed="81"/>
            <rFont val="Tahoma"/>
            <family val="2"/>
          </rPr>
          <t>Author:</t>
        </r>
        <r>
          <rPr>
            <sz val="9"/>
            <color indexed="81"/>
            <rFont val="Tahoma"/>
            <family val="2"/>
          </rPr>
          <t xml:space="preserve">
30098214</t>
        </r>
      </text>
    </comment>
    <comment ref="O6" authorId="0" shapeId="0" xr:uid="{481C1E5A-1F2F-4F1B-91D0-8473359E5DFB}">
      <text>
        <r>
          <rPr>
            <b/>
            <sz val="9"/>
            <color indexed="81"/>
            <rFont val="Tahoma"/>
            <family val="2"/>
          </rPr>
          <t>Author:</t>
        </r>
        <r>
          <rPr>
            <sz val="9"/>
            <color indexed="81"/>
            <rFont val="Tahoma"/>
            <family val="2"/>
          </rPr>
          <t xml:space="preserve">
1-3-21: 7,5tr rút ra sử dụng không ghi nhận vào lợi nhuận</t>
        </r>
      </text>
    </comment>
    <comment ref="P6" authorId="0" shapeId="0" xr:uid="{361338AD-FDC6-4B15-AB25-5091C9D37472}">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xr:uid="{8D8A62C1-D253-400A-8248-FBC98D5226F9}">
      <text>
        <r>
          <rPr>
            <b/>
            <sz val="9"/>
            <color indexed="81"/>
            <rFont val="Tahoma"/>
            <family val="2"/>
          </rPr>
          <t>Author:</t>
        </r>
        <r>
          <rPr>
            <sz val="9"/>
            <color indexed="81"/>
            <rFont val="Tahoma"/>
            <family val="2"/>
          </rPr>
          <t xml:space="preserve">
Trong đó hết 1 triệu ăn nhậu
5570=102.5tr-95.93tr
</t>
        </r>
      </text>
    </comment>
    <comment ref="P7" authorId="0" shapeId="0" xr:uid="{F55D0CCB-1ACC-469B-9C7E-FBEB0CCECB0B}">
      <text>
        <r>
          <rPr>
            <b/>
            <sz val="9"/>
            <color indexed="81"/>
            <rFont val="Tahoma"/>
            <family val="2"/>
          </rPr>
          <t>Author:</t>
        </r>
        <r>
          <rPr>
            <sz val="9"/>
            <color indexed="81"/>
            <rFont val="Tahoma"/>
            <family val="2"/>
          </rPr>
          <t xml:space="preserve">
Họp HĐCĐ dự kiến: 27-04-2020 hoãn ngày 1-4</t>
        </r>
      </text>
    </comment>
    <comment ref="Q8" authorId="0" shapeId="0" xr:uid="{C2E5DC8D-5827-4493-984C-78B7A144C1E3}">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xr:uid="{A03CBE5E-E4DC-4F37-8CBF-E9BE2EEC7943}">
      <text>
        <r>
          <rPr>
            <b/>
            <sz val="9"/>
            <color indexed="81"/>
            <rFont val="Tahoma"/>
            <charset val="1"/>
          </rPr>
          <t>Author:</t>
        </r>
        <r>
          <rPr>
            <sz val="9"/>
            <color indexed="81"/>
            <rFont val="Tahoma"/>
            <charset val="1"/>
          </rPr>
          <t xml:space="preserve">
1-6-22: Mua máy tính, đầu tư vào bản thân, học lập trình R, và các khóa lập trình khác cần thiết
Data - python
</t>
        </r>
      </text>
    </comment>
    <comment ref="O9" authorId="0" shapeId="0" xr:uid="{8FE60451-3739-4A26-907B-FF4448D0629A}">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xr:uid="{B44A650A-E0B4-4D4A-9D36-EA8A1464D36B}">
      <text>
        <r>
          <rPr>
            <b/>
            <sz val="9"/>
            <color indexed="81"/>
            <rFont val="Tahoma"/>
            <family val="2"/>
          </rPr>
          <t>Author:</t>
        </r>
        <r>
          <rPr>
            <sz val="9"/>
            <color indexed="81"/>
            <rFont val="Tahoma"/>
            <family val="2"/>
          </rPr>
          <t xml:space="preserve">
giá mua trung bình 27,72</t>
        </r>
      </text>
    </comment>
    <comment ref="N12" authorId="0" shapeId="0" xr:uid="{9CD6974B-4905-425A-A04A-2A6725AC3DE9}">
      <text>
        <r>
          <rPr>
            <b/>
            <sz val="9"/>
            <color indexed="81"/>
            <rFont val="Tahoma"/>
            <charset val="1"/>
          </rPr>
          <t>Author:</t>
        </r>
        <r>
          <rPr>
            <sz val="9"/>
            <color indexed="81"/>
            <rFont val="Tahoma"/>
            <charset val="1"/>
          </rPr>
          <t xml:space="preserve">
10-6: +4tr</t>
        </r>
      </text>
    </comment>
    <comment ref="O12" authorId="0" shapeId="0" xr:uid="{11500BF2-F68B-4AC3-BC20-E29764CC8191}">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xr:uid="{4C257D49-7542-4B16-8130-4CDD22745B27}">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2" authorId="0" shapeId="0" xr:uid="{9163AB89-1C49-448B-B0DE-96D62B95F621}">
      <text>
        <r>
          <rPr>
            <b/>
            <sz val="9"/>
            <color indexed="81"/>
            <rFont val="Tahoma"/>
            <charset val="1"/>
          </rPr>
          <t>Author:</t>
        </r>
        <r>
          <rPr>
            <sz val="9"/>
            <color indexed="81"/>
            <rFont val="Tahoma"/>
            <charset val="1"/>
          </rPr>
          <t xml:space="preserve">
giá 17,2k: bán 7k 120M
216-120 = 96M
Cổ tức 15% tiền ~60M
=96-60 = 36 phải trả
Lương 15M =&gt; </t>
        </r>
      </text>
    </comment>
    <comment ref="D31" authorId="0" shapeId="0" xr:uid="{315E0C10-E11A-486E-9331-1AE448BCB44E}">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2" authorId="0" shapeId="0" xr:uid="{4543298B-DAAE-435E-B10F-4D7ACBF3ED72}">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3" authorId="0" shapeId="0" xr:uid="{FAB28970-1E6C-465C-8042-09CC91371133}">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4" authorId="0" shapeId="0" xr:uid="{9ECB7447-60B1-4D93-BC88-E3C8585EF4FF}">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5" authorId="0" shapeId="0" xr:uid="{2D2ED5F0-47D7-4617-B0CF-C57874C8DDE1}">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E35" authorId="0" shapeId="0" xr:uid="{DB882070-461E-4C0F-870C-F4415B1F9018}">
      <text>
        <r>
          <rPr>
            <b/>
            <sz val="9"/>
            <color indexed="81"/>
            <rFont val="Tahoma"/>
            <charset val="1"/>
          </rPr>
          <t>Author:</t>
        </r>
        <r>
          <rPr>
            <sz val="9"/>
            <color indexed="81"/>
            <rFont val="Tahoma"/>
            <charset val="1"/>
          </rPr>
          <t xml:space="preserve">
chốt 1339,6</t>
        </r>
      </text>
    </comment>
    <comment ref="D36" authorId="0" shapeId="0" xr:uid="{E1AF460C-23ED-4418-93F6-8A5D909B6529}">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J86" authorId="0" shapeId="0" xr:uid="{7929B0C0-43A5-4D35-8429-E0A183A9C02E}">
      <text>
        <r>
          <rPr>
            <b/>
            <sz val="9"/>
            <color indexed="81"/>
            <rFont val="Tahoma"/>
            <family val="2"/>
          </rPr>
          <t>Author:</t>
        </r>
        <r>
          <rPr>
            <sz val="9"/>
            <color indexed="81"/>
            <rFont val="Tahoma"/>
            <family val="2"/>
          </rPr>
          <t xml:space="preserve">
Ngày 16-2-22 Mua thêm 500 CP giá 44,6k
</t>
        </r>
      </text>
    </comment>
    <comment ref="F87" authorId="0" shapeId="0" xr:uid="{7B6E8BA5-181A-4D24-8132-76E769BB9B1C}">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7" authorId="0" shapeId="0" xr:uid="{1CEBB9C5-D274-4856-9EF7-C0791A676C16}">
      <text>
        <r>
          <rPr>
            <b/>
            <sz val="9"/>
            <color indexed="81"/>
            <rFont val="Tahoma"/>
            <family val="2"/>
          </rPr>
          <t>Author:</t>
        </r>
        <r>
          <rPr>
            <sz val="9"/>
            <color indexed="81"/>
            <rFont val="Tahoma"/>
            <family val="2"/>
          </rPr>
          <t xml:space="preserve">
Mượn 110M</t>
        </r>
      </text>
    </comment>
    <comment ref="I87" authorId="0" shapeId="0" xr:uid="{FFC974B7-6B00-4438-B30F-F52EA6B3680E}">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7" authorId="0" shapeId="0" xr:uid="{756C3A40-2F5B-4C59-9AA1-4275B0B8C754}">
      <text>
        <r>
          <rPr>
            <b/>
            <sz val="9"/>
            <color indexed="81"/>
            <rFont val="Tahoma"/>
            <family val="2"/>
          </rPr>
          <t>Author:</t>
        </r>
        <r>
          <rPr>
            <sz val="9"/>
            <color indexed="81"/>
            <rFont val="Tahoma"/>
            <family val="2"/>
          </rPr>
          <t xml:space="preserve">
=([@Volume]*[@Price]+[@Commission])
</t>
        </r>
      </text>
    </comment>
    <comment ref="K87" authorId="0" shapeId="0" xr:uid="{3E0A6348-46D5-4175-AA65-6C46C5F198EF}">
      <text>
        <r>
          <rPr>
            <b/>
            <sz val="9"/>
            <color indexed="81"/>
            <rFont val="Tahoma"/>
            <family val="2"/>
          </rPr>
          <t>Author:</t>
        </r>
        <r>
          <rPr>
            <sz val="9"/>
            <color indexed="81"/>
            <rFont val="Tahoma"/>
            <family val="2"/>
          </rPr>
          <t xml:space="preserve">
=([@Result]-723000)/1000</t>
        </r>
      </text>
    </comment>
    <comment ref="D88" authorId="0" shapeId="0" xr:uid="{FE6096BA-0FE2-483A-A3A5-E2E835E6E9C2}">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88" authorId="0" shapeId="0" xr:uid="{CB86AFB5-1965-4BA3-BBF6-22B8006C7823}">
      <text>
        <r>
          <rPr>
            <b/>
            <sz val="9"/>
            <color indexed="81"/>
            <rFont val="Tahoma"/>
            <family val="2"/>
          </rPr>
          <t>Author:</t>
        </r>
        <r>
          <rPr>
            <sz val="9"/>
            <color indexed="81"/>
            <rFont val="Tahoma"/>
            <family val="2"/>
          </rPr>
          <t xml:space="preserve">
Tổng nạp: 619M
Ngày 24-11: 350M
Nộp ngày 23-11: 269M 
(chỉ GD đc 9HĐ)
</t>
        </r>
      </text>
    </comment>
    <comment ref="I90" authorId="0" shapeId="0" xr:uid="{1020EF3F-6EBC-47E1-A230-C2AFD2539155}">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2" authorId="0" shapeId="0" xr:uid="{7978E8E4-C0C1-4A2C-9D23-709D8AF5C6CD}">
      <text>
        <r>
          <rPr>
            <b/>
            <sz val="9"/>
            <color indexed="81"/>
            <rFont val="Tahoma"/>
            <family val="2"/>
          </rPr>
          <t>Author:</t>
        </r>
        <r>
          <rPr>
            <sz val="9"/>
            <color indexed="81"/>
            <rFont val="Tahoma"/>
            <family val="2"/>
          </rPr>
          <t xml:space="preserve">
Margin: 235M 29-10-21
Tính phí 3 tháng</t>
        </r>
      </text>
    </comment>
    <comment ref="J93" authorId="0" shapeId="0" xr:uid="{F5280058-31F1-4910-8DD9-1E2D18F44A1B}">
      <text>
        <r>
          <rPr>
            <b/>
            <sz val="9"/>
            <color indexed="81"/>
            <rFont val="Tahoma"/>
            <family val="2"/>
          </rPr>
          <t>Author:</t>
        </r>
        <r>
          <rPr>
            <sz val="9"/>
            <color indexed="81"/>
            <rFont val="Tahoma"/>
            <family val="2"/>
          </rPr>
          <t xml:space="preserve">
Nộp ngày 18-10: 293,9M</t>
        </r>
      </text>
    </comment>
    <comment ref="I116" authorId="0" shapeId="0" xr:uid="{BB53422C-28CE-47B4-B505-0709F9C6F36D}">
      <text>
        <r>
          <rPr>
            <b/>
            <sz val="9"/>
            <color indexed="81"/>
            <rFont val="Tahoma"/>
            <family val="2"/>
          </rPr>
          <t>Author:</t>
        </r>
        <r>
          <rPr>
            <sz val="9"/>
            <color indexed="81"/>
            <rFont val="Tahoma"/>
            <family val="2"/>
          </rPr>
          <t xml:space="preserve">
Lãi vay Margin</t>
        </r>
      </text>
    </comment>
    <comment ref="I120" authorId="0" shapeId="0" xr:uid="{6036A6E1-3C4F-4B73-9549-049F84C48A2E}">
      <text>
        <r>
          <rPr>
            <b/>
            <sz val="9"/>
            <color indexed="81"/>
            <rFont val="Tahoma"/>
            <family val="2"/>
          </rPr>
          <t>Author:</t>
        </r>
        <r>
          <rPr>
            <sz val="9"/>
            <color indexed="81"/>
            <rFont val="Tahoma"/>
            <family val="2"/>
          </rPr>
          <t xml:space="preserve">
Lãi vay Margin</t>
        </r>
      </text>
    </comment>
    <comment ref="I130" authorId="0" shapeId="0" xr:uid="{9469A22A-0A26-4185-A2CF-2CFC8DCE4E59}">
      <text>
        <r>
          <rPr>
            <b/>
            <sz val="9"/>
            <color indexed="81"/>
            <rFont val="Tahoma"/>
            <family val="2"/>
          </rPr>
          <t>Author:</t>
        </r>
        <r>
          <rPr>
            <sz val="9"/>
            <color indexed="81"/>
            <rFont val="Tahoma"/>
            <family val="2"/>
          </rPr>
          <t xml:space="preserve">
phí + lãi vay 170M</t>
        </r>
      </text>
    </comment>
    <comment ref="C134" authorId="0" shapeId="0" xr:uid="{04A3FB3F-12F1-48C1-832C-097A7AABA886}">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4" authorId="0" shapeId="0" xr:uid="{831CC4D2-B67F-45F9-B16A-6BF8AEBA687F}">
      <text>
        <r>
          <rPr>
            <b/>
            <sz val="9"/>
            <color indexed="81"/>
            <rFont val="Tahoma"/>
            <family val="2"/>
          </rPr>
          <t>Author:</t>
        </r>
        <r>
          <rPr>
            <sz val="9"/>
            <color indexed="81"/>
            <rFont val="Tahoma"/>
            <family val="2"/>
          </rPr>
          <t xml:space="preserve">
Phí vay tiền MARGIN</t>
        </r>
      </text>
    </comment>
    <comment ref="M192" authorId="0" shapeId="0" xr:uid="{3451904D-C089-46BC-8538-59E0DD819EC5}">
      <text>
        <r>
          <rPr>
            <b/>
            <sz val="9"/>
            <color indexed="81"/>
            <rFont val="Tahoma"/>
            <family val="2"/>
          </rPr>
          <t>Author:</t>
        </r>
        <r>
          <rPr>
            <sz val="9"/>
            <color indexed="81"/>
            <rFont val="Tahoma"/>
            <family val="2"/>
          </rPr>
          <t xml:space="preserve">
cho Xmen mượn 5M, hẹn 1 tháng trả</t>
        </r>
      </text>
    </comment>
    <comment ref="K227" authorId="0" shapeId="0" xr:uid="{A1506845-5EFD-44D3-85C7-90FB71C5F2F9}">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28" authorId="0" shapeId="0" xr:uid="{C3E5FE96-61B1-4681-AC8E-4EEA82660877}">
      <text>
        <r>
          <rPr>
            <b/>
            <sz val="9"/>
            <color indexed="81"/>
            <rFont val="Tahoma"/>
            <family val="2"/>
          </rPr>
          <t>Author:</t>
        </r>
        <r>
          <rPr>
            <sz val="9"/>
            <color indexed="81"/>
            <rFont val="Tahoma"/>
            <family val="2"/>
          </rPr>
          <t xml:space="preserve">
Tính toán target sau khi có quyền về
Kỳ vọng: </t>
        </r>
      </text>
    </comment>
    <comment ref="K229" authorId="0" shapeId="0" xr:uid="{80F48D1A-0814-4007-9948-B8825B87408B}">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0" authorId="0" shapeId="0" xr:uid="{B088036F-0736-4995-A61E-0AF8323F617A}">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K239" authorId="0" shapeId="0" xr:uid="{81367E1C-DB7E-4D02-9B5F-5486BDA3C1F5}">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Q239" authorId="0" shapeId="0" xr:uid="{4ED3DCB3-1EB3-4A95-9ECF-10CB24E8EE9A}">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xr:uid="{4CCEBF4A-FCFF-4509-AE81-2AE719A9370D}">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2" authorId="0" shapeId="0" xr:uid="{24459BDA-3371-4D60-9332-137D9EF80FE1}">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O243" authorId="0" shapeId="0" xr:uid="{C0457BE8-FFFC-4CA9-BC28-E2A147B63B9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xr:uid="{41D9A476-6811-451C-B8EF-C5D96DA139E9}">
      <text>
        <r>
          <rPr>
            <b/>
            <sz val="9"/>
            <color indexed="81"/>
            <rFont val="Tahoma"/>
            <family val="2"/>
          </rPr>
          <t>Author:</t>
        </r>
        <r>
          <rPr>
            <sz val="9"/>
            <color indexed="81"/>
            <rFont val="Tahoma"/>
            <family val="2"/>
          </rPr>
          <t xml:space="preserve">
VGI là mã nên quan tâm theo dõi và canh điểm mua </t>
        </r>
      </text>
    </comment>
    <comment ref="K249" authorId="0" shapeId="0" xr:uid="{D1BB250B-2899-47EB-9B60-422C8A4C54E4}">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1" authorId="0" shapeId="0" xr:uid="{04BC3DD7-9286-47F1-A37A-E9AB22C9C55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4" authorId="0" shapeId="0" xr:uid="{6D169A83-4D8D-4DD8-AE4D-495EC664977B}">
      <text>
        <r>
          <rPr>
            <b/>
            <sz val="9"/>
            <color indexed="81"/>
            <rFont val="Tahoma"/>
            <family val="2"/>
          </rPr>
          <t>Author:</t>
        </r>
        <r>
          <rPr>
            <sz val="9"/>
            <color indexed="81"/>
            <rFont val="Tahoma"/>
            <family val="2"/>
          </rPr>
          <t xml:space="preserve">
cắt lỗ 1,050M
còn 50% cổ lỗ 2,8%</t>
        </r>
      </text>
    </comment>
    <comment ref="K256" authorId="0" shapeId="0" xr:uid="{60BEEACC-8390-4442-AF41-412F8010419F}">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58" authorId="0" shapeId="0" xr:uid="{3284642C-49B7-46B3-86BF-43F64B107F66}">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59" authorId="0" shapeId="0" xr:uid="{E79BDA27-4834-46E0-AD6C-7BE05B9CFF54}">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0" authorId="0" shapeId="0" xr:uid="{71C0C95E-9DA6-4E2F-8AFC-AA079E1B4C3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4" authorId="0" shapeId="0" xr:uid="{BBC4CEC5-61A2-43E5-9BEE-F7018A05C24D}">
      <text>
        <r>
          <rPr>
            <b/>
            <sz val="9"/>
            <color indexed="81"/>
            <rFont val="Tahoma"/>
            <family val="2"/>
          </rPr>
          <t>Author:</t>
        </r>
        <r>
          <rPr>
            <sz val="9"/>
            <color indexed="81"/>
            <rFont val="Tahoma"/>
            <family val="2"/>
          </rPr>
          <t xml:space="preserve">
sau khi mua xong đóng cửa 10,25, ứng mua luôn lại là quyết định đúng</t>
        </r>
      </text>
    </comment>
    <comment ref="K266" authorId="0" shapeId="0" xr:uid="{BED2C3B5-549E-4076-BBBE-1E2BDD8E3C6A}">
      <text>
        <r>
          <rPr>
            <b/>
            <sz val="9"/>
            <color indexed="81"/>
            <rFont val="Tahoma"/>
            <family val="2"/>
          </rPr>
          <t>Author:</t>
        </r>
        <r>
          <rPr>
            <sz val="9"/>
            <color indexed="81"/>
            <rFont val="Tahoma"/>
            <family val="2"/>
          </rPr>
          <t xml:space="preserve">
Mua đuổi giá sau phiên thu 6 tăng mạnh =&gt; SAI
Đóng cửa giảm </t>
        </r>
      </text>
    </comment>
    <comment ref="K269" authorId="0" shapeId="0" xr:uid="{4D3CD685-A782-482D-A631-BF514380B134}">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3" authorId="0" shapeId="0" xr:uid="{3743DB28-66F6-4109-8190-D96D499B2D64}">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5" authorId="0" shapeId="0" xr:uid="{49EA8D68-7D70-4AEC-AF4B-C167D84ECE2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78" authorId="0" shapeId="0" xr:uid="{6559B8CB-7AC5-40D3-BBAF-6D599FF44566}">
      <text>
        <r>
          <rPr>
            <b/>
            <sz val="9"/>
            <color indexed="81"/>
            <rFont val="Tahoma"/>
            <family val="2"/>
          </rPr>
          <t>Author:</t>
        </r>
        <r>
          <rPr>
            <sz val="9"/>
            <color indexed="81"/>
            <rFont val="Tahoma"/>
            <family val="2"/>
          </rPr>
          <t xml:space="preserve">
vay 4, trả vào kỳ ứ 200619 của l 100719</t>
        </r>
      </text>
    </comment>
    <comment ref="G279" authorId="0" shapeId="0" xr:uid="{A987935B-C742-439B-9795-3AABF68EE679}">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F8D8F28E-1144-4033-B80C-ACE94C2BCEF4}">
      <text>
        <r>
          <rPr>
            <b/>
            <sz val="9"/>
            <color indexed="81"/>
            <rFont val="Tahoma"/>
            <family val="2"/>
          </rPr>
          <t>Author:</t>
        </r>
        <r>
          <rPr>
            <sz val="9"/>
            <color indexed="81"/>
            <rFont val="Tahoma"/>
            <family val="2"/>
          </rPr>
          <t xml:space="preserve">
0,6% trên mỗi 2 lượt giao dịch
M: 0,25%
B: 0,35% (0,1% thuế)</t>
        </r>
      </text>
    </comment>
    <comment ref="I2" authorId="0" shapeId="0" xr:uid="{71A3E71E-78EA-41C5-9786-1A45F7BBA5FB}">
      <text>
        <r>
          <rPr>
            <b/>
            <sz val="9"/>
            <color indexed="81"/>
            <rFont val="Tahoma"/>
            <charset val="1"/>
          </rPr>
          <t>Author:</t>
        </r>
        <r>
          <rPr>
            <sz val="9"/>
            <color indexed="81"/>
            <rFont val="Tahoma"/>
            <charset val="1"/>
          </rPr>
          <t xml:space="preserve">
Ghi nhận lại mức độ chấp nhận rủi ro trong ngày giao dịch</t>
        </r>
      </text>
    </comment>
    <comment ref="L4" authorId="0" shapeId="0" xr:uid="{093F18B3-6A2F-45F9-8B43-760229713BF4}">
      <text>
        <r>
          <rPr>
            <b/>
            <sz val="9"/>
            <color indexed="81"/>
            <rFont val="Tahoma"/>
            <family val="2"/>
          </rPr>
          <t>Author:</t>
        </r>
        <r>
          <rPr>
            <sz val="9"/>
            <color indexed="81"/>
            <rFont val="Tahoma"/>
            <family val="2"/>
          </rPr>
          <t xml:space="preserve">
30098214</t>
        </r>
      </text>
    </comment>
    <comment ref="M4" authorId="0" shapeId="0" xr:uid="{ED91D5D6-A957-4FAF-9A5A-3A68F4343F57}">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xr:uid="{302000D7-2F86-462C-8107-25D79B90B780}">
      <text>
        <r>
          <rPr>
            <b/>
            <sz val="9"/>
            <color indexed="81"/>
            <rFont val="Tahoma"/>
            <family val="2"/>
          </rPr>
          <t>Author:</t>
        </r>
        <r>
          <rPr>
            <sz val="9"/>
            <color indexed="81"/>
            <rFont val="Tahoma"/>
            <family val="2"/>
          </rPr>
          <t xml:space="preserve">
30098214</t>
        </r>
      </text>
    </comment>
    <comment ref="M9" authorId="0" shapeId="0" xr:uid="{A3F82132-E938-4888-B235-0B88BD8CE3AE}">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xr:uid="{D8B5E6AA-5851-4D30-9F16-54CB840CD4C1}">
      <text>
        <r>
          <rPr>
            <b/>
            <sz val="9"/>
            <color indexed="81"/>
            <rFont val="Tahoma"/>
            <charset val="1"/>
          </rPr>
          <t>Author:</t>
        </r>
        <r>
          <rPr>
            <sz val="9"/>
            <color indexed="81"/>
            <rFont val="Tahoma"/>
            <charset val="1"/>
          </rPr>
          <t xml:space="preserve">
Hết Tháng 6-22: 
         : Vốn 125M + 4M
6-7-22: Topup 144M</t>
        </r>
      </text>
    </comment>
    <comment ref="Q20" authorId="0" shapeId="0" xr:uid="{95125CA2-ADBE-4E7A-A38F-F5F83E7B1DC5}">
      <text>
        <r>
          <rPr>
            <b/>
            <sz val="9"/>
            <color indexed="81"/>
            <rFont val="Tahoma"/>
            <charset val="1"/>
          </rPr>
          <t>Author:</t>
        </r>
        <r>
          <rPr>
            <sz val="9"/>
            <color indexed="81"/>
            <rFont val="Tahoma"/>
            <charset val="1"/>
          </rPr>
          <t xml:space="preserve">
T1/2022</t>
        </r>
      </text>
    </comment>
    <comment ref="Q21" authorId="0" shapeId="0" xr:uid="{AC2CD4E9-C550-4912-8DF9-BE0DC2F678F5}">
      <text>
        <r>
          <rPr>
            <b/>
            <sz val="9"/>
            <color indexed="81"/>
            <rFont val="Tahoma"/>
            <charset val="1"/>
          </rPr>
          <t>Author:</t>
        </r>
        <r>
          <rPr>
            <sz val="9"/>
            <color indexed="81"/>
            <rFont val="Tahoma"/>
            <charset val="1"/>
          </rPr>
          <t xml:space="preserve">
T11/2021
</t>
        </r>
      </text>
    </comment>
    <comment ref="R27" authorId="0" shapeId="0" xr:uid="{F562C844-2A6F-4D46-9A5C-DAE0EC941497}">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3" authorId="0" shapeId="0" xr:uid="{60425335-6940-403D-B8F3-6473296745D6}">
      <text>
        <r>
          <rPr>
            <b/>
            <sz val="9"/>
            <color indexed="81"/>
            <rFont val="Tahoma"/>
            <charset val="1"/>
          </rPr>
          <t>Author:</t>
        </r>
        <r>
          <rPr>
            <sz val="9"/>
            <color indexed="81"/>
            <rFont val="Tahoma"/>
            <charset val="1"/>
          </rPr>
          <t xml:space="preserve">
chốt phái sinh 2206</t>
        </r>
      </text>
    </comment>
    <comment ref="L36" authorId="0" shapeId="0" xr:uid="{88562B5A-603C-4241-8AA9-1FF39AB36375}">
      <text>
        <r>
          <rPr>
            <b/>
            <sz val="9"/>
            <color indexed="81"/>
            <rFont val="Tahoma"/>
            <family val="2"/>
          </rPr>
          <t>Author:</t>
        </r>
        <r>
          <rPr>
            <sz val="9"/>
            <color indexed="81"/>
            <rFont val="Tahoma"/>
            <family val="2"/>
          </rPr>
          <t xml:space="preserve">
Vì tăng khối lượng gấp 4 nên mới nhiều vậy</t>
        </r>
      </text>
    </comment>
    <comment ref="B43" authorId="0" shapeId="0" xr:uid="{E5D9037A-9360-4BEF-8244-9B21DD73F0FE}">
      <text>
        <r>
          <rPr>
            <b/>
            <sz val="9"/>
            <color indexed="81"/>
            <rFont val="Tahoma"/>
            <charset val="1"/>
          </rPr>
          <t>Author:</t>
        </r>
        <r>
          <rPr>
            <sz val="9"/>
            <color indexed="81"/>
            <rFont val="Tahoma"/>
            <charset val="1"/>
          </rPr>
          <t xml:space="preserve">
lộn tháng</t>
        </r>
      </text>
    </comment>
    <comment ref="B44" authorId="0" shapeId="0" xr:uid="{74FED9E6-FC08-4B4D-8474-931C77F01427}">
      <text>
        <r>
          <rPr>
            <b/>
            <sz val="9"/>
            <color indexed="81"/>
            <rFont val="Tahoma"/>
            <charset val="1"/>
          </rPr>
          <t>Author:</t>
        </r>
        <r>
          <rPr>
            <sz val="9"/>
            <color indexed="81"/>
            <rFont val="Tahoma"/>
            <charset val="1"/>
          </rPr>
          <t xml:space="preserve">
lộn tháng</t>
        </r>
      </text>
    </comment>
    <comment ref="B45" authorId="0" shapeId="0" xr:uid="{EA9D82F6-2C52-4359-8880-D8E049D3AE84}">
      <text>
        <r>
          <rPr>
            <b/>
            <sz val="9"/>
            <color indexed="81"/>
            <rFont val="Tahoma"/>
            <charset val="1"/>
          </rPr>
          <t>Author:</t>
        </r>
        <r>
          <rPr>
            <sz val="9"/>
            <color indexed="81"/>
            <rFont val="Tahoma"/>
            <charset val="1"/>
          </rPr>
          <t xml:space="preserve">
lộn tháng</t>
        </r>
      </text>
    </comment>
    <comment ref="B46" authorId="0" shapeId="0" xr:uid="{B92270FA-8899-44F7-8D2C-A4A390393354}">
      <text>
        <r>
          <rPr>
            <b/>
            <sz val="9"/>
            <color indexed="81"/>
            <rFont val="Tahoma"/>
            <charset val="1"/>
          </rPr>
          <t>Author:</t>
        </r>
        <r>
          <rPr>
            <sz val="9"/>
            <color indexed="81"/>
            <rFont val="Tahoma"/>
            <charset val="1"/>
          </rPr>
          <t xml:space="preserve">
lộn tháng</t>
        </r>
      </text>
    </comment>
  </commentList>
</comments>
</file>

<file path=xl/sharedStrings.xml><?xml version="1.0" encoding="utf-8"?>
<sst xmlns="http://schemas.openxmlformats.org/spreadsheetml/2006/main" count="2200" uniqueCount="1299">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</sst>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9"/>
      <color indexed="81"/>
      <name val="Tahoma"/>
      <charset val="1"/>
    </font>
    <font>
      <b/>
      <sz val="9"/>
      <color indexed="81"/>
      <name val="Tahoma"/>
      <charset val="1"/>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6">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21" fillId="0" borderId="0" xfId="0" applyFont="1"/>
    <xf numFmtId="0" fontId="25" fillId="0" borderId="0" xfId="0" applyFont="1"/>
    <xf numFmtId="0" fontId="16" fillId="0" borderId="0" xfId="0" applyFont="1" applyBorder="1"/>
    <xf numFmtId="10" fontId="7" fillId="0" borderId="0" xfId="2" applyNumberFormat="1" applyFont="1" applyBorder="1"/>
    <xf numFmtId="0" fontId="27"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0195ED-C702-47C3-848F-D53DDC28B59D}" name="Table1" displayName="Table1" ref="A2:K282" totalsRowShown="0" headerRowDxfId="60" headerRowBorderDxfId="59" tableBorderDxfId="58">
  <autoFilter ref="A2:K282" xr:uid="{D66C23F6-EBC7-48B7-A349-AA2873C4D03F}"/>
  <tableColumns count="11">
    <tableColumn id="1" xr3:uid="{678F0869-582C-4332-8B68-BAF10F78D2B1}" name="Date" dataDxfId="57"/>
    <tableColumn id="2" xr3:uid="{D92322D0-2918-414B-9303-0CB402AE7DE6}" name="Order" dataDxfId="56"/>
    <tableColumn id="3" xr3:uid="{896E41AC-8414-4060-B26E-CDECE66DC0BD}" name="Stock" dataDxfId="55"/>
    <tableColumn id="4" xr3:uid="{4A70537B-3B23-4397-891B-1D6A1EEA3628}" name="Commission" dataDxfId="54"/>
    <tableColumn id="5" xr3:uid="{D560FFCE-B086-4299-A9A8-C071CDFD3E79}" name="Price" dataDxfId="53"/>
    <tableColumn id="6" xr3:uid="{47DE455E-F467-4FF6-B662-8AD426E6353A}" name="Volume" dataDxfId="52"/>
    <tableColumn id="7" xr3:uid="{CDD576E1-0BAF-4998-8C60-B60ECF695902}" name="NR" dataDxfId="51"/>
    <tableColumn id="8" xr3:uid="{F87DA863-07C1-4F6D-8CB4-0165C274F4E1}" name="Average Price" dataDxfId="50" dataCellStyle="Percent"/>
    <tableColumn id="11" xr3:uid="{2B43B371-03FA-441B-8CDF-32FAF8B88947}" name="T+" dataDxfId="49"/>
    <tableColumn id="9" xr3:uid="{6D1D7107-B634-4446-8FD1-AA0DE4994DE0}" name="Result" dataDxfId="48"/>
    <tableColumn id="10" xr3:uid="{894B8239-3394-4C04-B4E4-D47C4C2780CB}" name="Notes"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524ADB-C8FD-4308-A1BA-E2BCE4FD262B}" name="Table6" displayName="Table6" ref="A2:J59" totalsRowShown="0" headerRowDxfId="46" headerRowBorderDxfId="45" tableBorderDxfId="44" totalsRowBorderDxfId="43">
  <autoFilter ref="A2:J59" xr:uid="{48524ADB-C8FD-4308-A1BA-E2BCE4FD262B}"/>
  <tableColumns count="10">
    <tableColumn id="1" xr3:uid="{1D6780EB-F871-4180-A92C-D0F0D1B007D3}" name="Date" dataDxfId="42"/>
    <tableColumn id="2" xr3:uid="{32FF7720-289E-4408-917C-7A831AAA254A}" name="Order" dataDxfId="41"/>
    <tableColumn id="3" xr3:uid="{44368CD4-5C2F-4309-B8A2-975B12C38B1B}" name="Commission" dataDxfId="40">
      <calculatedColumnFormula>86.314*2</calculatedColumnFormula>
    </tableColumn>
    <tableColumn id="4" xr3:uid="{8AFA76CD-5814-46C1-9F18-C64B52184E93}" name="Price" dataDxfId="39"/>
    <tableColumn id="5" xr3:uid="{1319990D-EF9B-461D-9147-EAC1CB46493F}" name="Volume" dataDxfId="38"/>
    <tableColumn id="6" xr3:uid="{D2B81404-D6B3-4DC3-9FD4-09D2EB09C3D1}" name="Vị thế đóng" dataDxfId="37"/>
    <tableColumn id="8" xr3:uid="{B711B704-D395-40AC-8EFD-90F6604576A5}" name="Result" dataDxfId="36">
      <calculatedColumnFormula>Table6[[#This Row],[Vị thế đóng]]-Table6[[#This Row],[Commission]]</calculatedColumnFormula>
    </tableColumn>
    <tableColumn id="9" xr3:uid="{BD5D59EC-BF64-454A-BBFB-151C1B4853F9}" name="H-L PS" dataDxfId="35"/>
    <tableColumn id="10" xr3:uid="{1F29E53B-6220-489B-B701-40234C101838}" name="RR" dataDxfId="34"/>
    <tableColumn id="7" xr3:uid="{6623CB91-8EA1-4AB5-A740-EAD61B5274C5}" name="Notes"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9513C-1748-45BA-8C2B-296169998D6C}" name="Table2" displayName="Table2" ref="B2:F4" totalsRowShown="0" headerRowDxfId="32">
  <autoFilter ref="B2:F4" xr:uid="{7FA8D454-127A-43FD-9AC6-FD9CB8942CD3}"/>
  <tableColumns count="5">
    <tableColumn id="1" xr3:uid="{196E8946-9826-401D-8D85-F9C71E92D01E}" name="Sách"/>
    <tableColumn id="2" xr3:uid="{27484900-F190-428B-BC01-BC29D7138F32}" name="Ngày mua" dataDxfId="31"/>
    <tableColumn id="3" xr3:uid="{4BFC1984-0E3F-482B-B870-C4DDE9AEA56C}" name="NXB"/>
    <tableColumn id="4" xr3:uid="{1FF0B5C9-6050-4E67-8963-C93936875EEF}" name="Ngày đọc xong lần 1"/>
    <tableColumn id="5" xr3:uid="{5B0A22AE-96B7-48EE-88F3-0216E413D6D9}" name="Nhận xét"/>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D8D93A-1E7E-4639-B314-3CE4F679D400}" name="Table4" displayName="Table4" ref="A2:H21" totalsRowShown="0" headerRowDxfId="30" dataDxfId="28" headerRowBorderDxfId="29" tableBorderDxfId="27" totalsRowBorderDxfId="26">
  <autoFilter ref="A2:H21" xr:uid="{9EF8C343-DB95-476E-8DC4-AAED225885C6}"/>
  <sortState xmlns:xlrd2="http://schemas.microsoft.com/office/spreadsheetml/2017/richdata2" ref="A3:H21">
    <sortCondition ref="F2:F21"/>
  </sortState>
  <tableColumns count="8">
    <tableColumn id="1" xr3:uid="{7082F595-6344-4BE3-BD92-121B5F0DEF67}" name="STT" dataDxfId="25"/>
    <tableColumn id="2" xr3:uid="{9E478B5A-0117-4D8A-9FFD-104A843C2548}" name="Tên NH" dataDxfId="24"/>
    <tableColumn id="3" xr3:uid="{84D62623-65A5-4C11-B3CB-383A58D98CA7}" name="EPS" dataDxfId="23"/>
    <tableColumn id="4" xr3:uid="{60224D81-BBB0-45C4-AA99-73E2C79FCF95}" name="PE" dataDxfId="22"/>
    <tableColumn id="5" xr3:uid="{483373E4-B131-4ADC-9333-C03E1A316935}" name="GTSS" dataDxfId="21"/>
    <tableColumn id="6" xr3:uid="{2DB9519C-77A5-4D05-A57E-902775AB07AA}" name="KLCP" dataDxfId="20"/>
    <tableColumn id="7" xr3:uid="{0AE07D5D-2E2D-444B-97B1-00B00ABCC556}" name="Giá 27-4-21" dataDxfId="19"/>
    <tableColumn id="8" xr3:uid="{30FB1221-F4AD-40B5-9080-8AAFBC2BE886}" name="Cổ đông Khác (%)" dataDxfId="18"/>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F14950-60EC-4534-8E59-6DDC4D93865D}" name="Table3" displayName="Table3" ref="A3:M32" totalsRowShown="0" headerRowDxfId="17" dataDxfId="15" headerRowBorderDxfId="16" tableBorderDxfId="14" totalsRowBorderDxfId="13">
  <autoFilter ref="A3:M32" xr:uid="{A71581B6-ACC9-46F7-A5B4-60D1AA846C96}"/>
  <sortState xmlns:xlrd2="http://schemas.microsoft.com/office/spreadsheetml/2017/richdata2" ref="A4:M32">
    <sortCondition ref="A3:A32"/>
  </sortState>
  <tableColumns count="13">
    <tableColumn id="1" xr3:uid="{44DDB0EA-5629-4F81-8961-F24BE4338836}" name="STT" dataDxfId="12"/>
    <tableColumn id="2" xr3:uid="{60DD9777-4CA6-4AD5-938B-A1A43CD3489A}" name="Mã CK" dataDxfId="11"/>
    <tableColumn id="3" xr3:uid="{19F42510-9543-49DB-9A8D-4F4E97238D02}" name="+/-" dataDxfId="10"/>
    <tableColumn id="4" xr3:uid="{9163277F-939E-4142-8489-29F477702868}" name="EPS" dataDxfId="9"/>
    <tableColumn id="5" xr3:uid="{3AB9A23A-A690-4664-9C04-DC5EB554B984}" name="PE" dataDxfId="8"/>
    <tableColumn id="6" xr3:uid="{9820B426-4061-4CAC-A041-426DF5B234C5}" name="ROA" dataDxfId="7"/>
    <tableColumn id="7" xr3:uid="{AF38F579-4593-4FA9-B44B-F021E6E95280}" name="ROE" dataDxfId="6"/>
    <tableColumn id="8" xr3:uid="{8968142D-97F5-4854-8ABB-ECFAF7BA1484}" name="Giá SS" dataDxfId="5"/>
    <tableColumn id="9" xr3:uid="{9524ED83-56A7-4E5B-9FC6-EDFADFC7EBD5}" name="P/B" dataDxfId="4"/>
    <tableColumn id="10" xr3:uid="{DBE41C76-78BC-4E99-A235-A9D403EF7C1F}" name="Beta" dataDxfId="3"/>
    <tableColumn id="11" xr3:uid="{9C08C753-7C28-4CCC-81F1-7B482FCEC32F}" name="Tổng KL" dataDxfId="2"/>
    <tableColumn id="12" xr3:uid="{D4440DEF-8BFC-4F15-B5D0-88A720EE9EC1}" name="NN SởHữu" dataDxfId="1"/>
    <tableColumn id="13" xr3:uid="{C93E18BF-6178-4590-A173-AD91F9B6E95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756C-0760-4C29-A677-BE7381842730}">
  <dimension ref="A1:C88"/>
  <sheetViews>
    <sheetView workbookViewId="0">
      <selection activeCell="B5" sqref="B5"/>
    </sheetView>
  </sheetViews>
  <sheetFormatPr defaultRowHeight="15" x14ac:dyDescent="0.25"/>
  <cols>
    <col min="1" max="1" width="9.140625" customWidth="1"/>
  </cols>
  <sheetData>
    <row r="1" spans="1:2" x14ac:dyDescent="0.25">
      <c r="A1" t="s">
        <v>131</v>
      </c>
    </row>
    <row r="12" spans="1:2" x14ac:dyDescent="0.25">
      <c r="A12" t="s">
        <v>1192</v>
      </c>
    </row>
    <row r="13" spans="1:2" x14ac:dyDescent="0.25">
      <c r="B13" t="s">
        <v>1193</v>
      </c>
    </row>
    <row r="14" spans="1:2" x14ac:dyDescent="0.25">
      <c r="B14" t="s">
        <v>1194</v>
      </c>
    </row>
    <row r="16" spans="1:2" x14ac:dyDescent="0.25">
      <c r="A16" t="s">
        <v>846</v>
      </c>
    </row>
    <row r="17" spans="1:3" x14ac:dyDescent="0.25">
      <c r="B17" t="s">
        <v>847</v>
      </c>
    </row>
    <row r="18" spans="1:3" x14ac:dyDescent="0.25">
      <c r="C18" t="s">
        <v>885</v>
      </c>
    </row>
    <row r="19" spans="1:3" x14ac:dyDescent="0.25">
      <c r="C19" t="s">
        <v>848</v>
      </c>
    </row>
    <row r="20" spans="1:3" x14ac:dyDescent="0.25">
      <c r="C20" t="s">
        <v>886</v>
      </c>
    </row>
    <row r="21" spans="1:3" x14ac:dyDescent="0.25">
      <c r="C21" t="s">
        <v>849</v>
      </c>
    </row>
    <row r="22" spans="1:3" x14ac:dyDescent="0.25">
      <c r="C22" t="s">
        <v>850</v>
      </c>
    </row>
    <row r="23" spans="1:3" x14ac:dyDescent="0.25">
      <c r="B23" t="s">
        <v>851</v>
      </c>
    </row>
    <row r="24" spans="1:3" x14ac:dyDescent="0.25">
      <c r="C24" t="s">
        <v>884</v>
      </c>
    </row>
    <row r="25" spans="1:3" x14ac:dyDescent="0.25">
      <c r="C25" t="s">
        <v>859</v>
      </c>
    </row>
    <row r="26" spans="1:3" x14ac:dyDescent="0.25">
      <c r="A26" t="s">
        <v>852</v>
      </c>
      <c r="C26" t="s">
        <v>887</v>
      </c>
    </row>
    <row r="27" spans="1:3" x14ac:dyDescent="0.25">
      <c r="C27" t="s">
        <v>853</v>
      </c>
    </row>
    <row r="28" spans="1:3" x14ac:dyDescent="0.25">
      <c r="C28" t="s">
        <v>854</v>
      </c>
    </row>
    <row r="29" spans="1:3" x14ac:dyDescent="0.25">
      <c r="C29" t="s">
        <v>855</v>
      </c>
    </row>
    <row r="30" spans="1:3" x14ac:dyDescent="0.25">
      <c r="A30" s="41" t="s">
        <v>286</v>
      </c>
    </row>
    <row r="31" spans="1:3" x14ac:dyDescent="0.25">
      <c r="B31" t="s">
        <v>391</v>
      </c>
    </row>
    <row r="32" spans="1:3" x14ac:dyDescent="0.25">
      <c r="C32" t="s">
        <v>292</v>
      </c>
    </row>
    <row r="33" spans="1:3" x14ac:dyDescent="0.25">
      <c r="C33" t="s">
        <v>272</v>
      </c>
    </row>
    <row r="34" spans="1:3" x14ac:dyDescent="0.25">
      <c r="C34" t="s">
        <v>273</v>
      </c>
    </row>
    <row r="35" spans="1:3" x14ac:dyDescent="0.25">
      <c r="C35" t="s">
        <v>274</v>
      </c>
    </row>
    <row r="36" spans="1:3" x14ac:dyDescent="0.25">
      <c r="C36" t="s">
        <v>275</v>
      </c>
    </row>
    <row r="37" spans="1:3" x14ac:dyDescent="0.25">
      <c r="B37" t="s">
        <v>271</v>
      </c>
    </row>
    <row r="38" spans="1:3" x14ac:dyDescent="0.25">
      <c r="C38" t="s">
        <v>293</v>
      </c>
    </row>
    <row r="39" spans="1:3" x14ac:dyDescent="0.25">
      <c r="C39" t="s">
        <v>285</v>
      </c>
    </row>
    <row r="40" spans="1:3" x14ac:dyDescent="0.25">
      <c r="C40" t="s">
        <v>284</v>
      </c>
    </row>
    <row r="41" spans="1:3" x14ac:dyDescent="0.25">
      <c r="C41" t="s">
        <v>283</v>
      </c>
    </row>
    <row r="42" spans="1:3" x14ac:dyDescent="0.25">
      <c r="C42" t="s">
        <v>294</v>
      </c>
    </row>
    <row r="43" spans="1:3" x14ac:dyDescent="0.25">
      <c r="A43" t="s">
        <v>170</v>
      </c>
    </row>
    <row r="44" spans="1:3" x14ac:dyDescent="0.25">
      <c r="B44" t="s">
        <v>185</v>
      </c>
    </row>
    <row r="45" spans="1:3" x14ac:dyDescent="0.25">
      <c r="B45" t="s">
        <v>171</v>
      </c>
    </row>
    <row r="46" spans="1:3" x14ac:dyDescent="0.25">
      <c r="A46" s="5" t="s">
        <v>128</v>
      </c>
    </row>
    <row r="47" spans="1:3" x14ac:dyDescent="0.25">
      <c r="B47" t="s">
        <v>129</v>
      </c>
    </row>
    <row r="48" spans="1:3" x14ac:dyDescent="0.25">
      <c r="C48" t="s">
        <v>130</v>
      </c>
    </row>
    <row r="49" spans="1:3" x14ac:dyDescent="0.25">
      <c r="C49" t="s">
        <v>159</v>
      </c>
    </row>
    <row r="50" spans="1:3" x14ac:dyDescent="0.25">
      <c r="C50" t="s">
        <v>133</v>
      </c>
    </row>
    <row r="51" spans="1:3" x14ac:dyDescent="0.25">
      <c r="C51" t="s">
        <v>147</v>
      </c>
    </row>
    <row r="52" spans="1:3" x14ac:dyDescent="0.25">
      <c r="B52" t="s">
        <v>134</v>
      </c>
    </row>
    <row r="53" spans="1:3" x14ac:dyDescent="0.25">
      <c r="C53" t="s">
        <v>149</v>
      </c>
    </row>
    <row r="54" spans="1:3" x14ac:dyDescent="0.25">
      <c r="C54" t="s">
        <v>136</v>
      </c>
    </row>
    <row r="55" spans="1:3" x14ac:dyDescent="0.25">
      <c r="C55" t="s">
        <v>146</v>
      </c>
    </row>
    <row r="56" spans="1:3" x14ac:dyDescent="0.25">
      <c r="C56" t="s">
        <v>135</v>
      </c>
    </row>
    <row r="57" spans="1:3" x14ac:dyDescent="0.25">
      <c r="C57" t="s">
        <v>137</v>
      </c>
    </row>
    <row r="59" spans="1:3" x14ac:dyDescent="0.25">
      <c r="A59" t="s">
        <v>112</v>
      </c>
    </row>
    <row r="60" spans="1:3" x14ac:dyDescent="0.25">
      <c r="B60" t="s">
        <v>113</v>
      </c>
    </row>
    <row r="61" spans="1:3" x14ac:dyDescent="0.25">
      <c r="A61" t="s">
        <v>104</v>
      </c>
    </row>
    <row r="62" spans="1:3" x14ac:dyDescent="0.25">
      <c r="B62" t="s">
        <v>105</v>
      </c>
    </row>
    <row r="63" spans="1:3" x14ac:dyDescent="0.25">
      <c r="B63" t="s">
        <v>110</v>
      </c>
    </row>
    <row r="64" spans="1:3" x14ac:dyDescent="0.25">
      <c r="B64" t="s">
        <v>106</v>
      </c>
    </row>
    <row r="65" spans="1:2" x14ac:dyDescent="0.25">
      <c r="B65" t="s">
        <v>109</v>
      </c>
    </row>
    <row r="66" spans="1:2" x14ac:dyDescent="0.25">
      <c r="B66" t="s">
        <v>111</v>
      </c>
    </row>
    <row r="67" spans="1:2" x14ac:dyDescent="0.25">
      <c r="B67" t="s">
        <v>107</v>
      </c>
    </row>
    <row r="68" spans="1:2" x14ac:dyDescent="0.25">
      <c r="B68" t="s">
        <v>108</v>
      </c>
    </row>
    <row r="70" spans="1:2" x14ac:dyDescent="0.25">
      <c r="A70" t="s">
        <v>98</v>
      </c>
    </row>
    <row r="71" spans="1:2" x14ac:dyDescent="0.25">
      <c r="B71" t="s">
        <v>99</v>
      </c>
    </row>
    <row r="72" spans="1:2" x14ac:dyDescent="0.25">
      <c r="B72" t="s">
        <v>100</v>
      </c>
    </row>
    <row r="73" spans="1:2" x14ac:dyDescent="0.25">
      <c r="B73" t="s">
        <v>101</v>
      </c>
    </row>
    <row r="74" spans="1:2" x14ac:dyDescent="0.25">
      <c r="B74" s="2" t="s">
        <v>102</v>
      </c>
    </row>
    <row r="75" spans="1:2" x14ac:dyDescent="0.25">
      <c r="B75" s="2" t="s">
        <v>103</v>
      </c>
    </row>
    <row r="77" spans="1:2" x14ac:dyDescent="0.25">
      <c r="A77" t="s">
        <v>81</v>
      </c>
    </row>
    <row r="78" spans="1:2" x14ac:dyDescent="0.25">
      <c r="B78" t="s">
        <v>82</v>
      </c>
    </row>
    <row r="79" spans="1:2" x14ac:dyDescent="0.25">
      <c r="B79" t="s">
        <v>83</v>
      </c>
    </row>
    <row r="80" spans="1:2" x14ac:dyDescent="0.25">
      <c r="B80" t="s">
        <v>84</v>
      </c>
    </row>
    <row r="81" spans="1:2" x14ac:dyDescent="0.25">
      <c r="B81" t="s">
        <v>85</v>
      </c>
    </row>
    <row r="82" spans="1:2" x14ac:dyDescent="0.25">
      <c r="B82" s="2" t="s">
        <v>86</v>
      </c>
    </row>
    <row r="83" spans="1:2" x14ac:dyDescent="0.25">
      <c r="B83" s="2" t="s">
        <v>87</v>
      </c>
    </row>
    <row r="84" spans="1:2" x14ac:dyDescent="0.25">
      <c r="B84" s="2" t="s">
        <v>88</v>
      </c>
    </row>
    <row r="85" spans="1:2" x14ac:dyDescent="0.25">
      <c r="A85" t="s">
        <v>55</v>
      </c>
    </row>
    <row r="86" spans="1:2" x14ac:dyDescent="0.25">
      <c r="B86" t="s">
        <v>56</v>
      </c>
    </row>
    <row r="87" spans="1:2" x14ac:dyDescent="0.25">
      <c r="B87" t="s">
        <v>57</v>
      </c>
    </row>
    <row r="88" spans="1:2" x14ac:dyDescent="0.2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AAA4-812A-4F42-BF21-CBAC550E39BD}">
  <dimension ref="A2:H21"/>
  <sheetViews>
    <sheetView workbookViewId="0"/>
  </sheetViews>
  <sheetFormatPr defaultRowHeight="15" x14ac:dyDescent="0.25"/>
  <cols>
    <col min="2" max="2" width="9.5703125" customWidth="1"/>
    <col min="6" max="6" width="12.7109375" bestFit="1" customWidth="1"/>
    <col min="7" max="7" width="13" customWidth="1"/>
    <col min="8" max="8" width="18.42578125" customWidth="1"/>
  </cols>
  <sheetData>
    <row r="2" spans="1:8" x14ac:dyDescent="0.25">
      <c r="A2" s="84" t="s">
        <v>455</v>
      </c>
      <c r="B2" s="85" t="s">
        <v>444</v>
      </c>
      <c r="C2" s="85" t="s">
        <v>445</v>
      </c>
      <c r="D2" s="85" t="s">
        <v>446</v>
      </c>
      <c r="E2" s="85" t="s">
        <v>447</v>
      </c>
      <c r="F2" s="85" t="s">
        <v>448</v>
      </c>
      <c r="G2" s="85" t="s">
        <v>450</v>
      </c>
      <c r="H2" s="86" t="s">
        <v>452</v>
      </c>
    </row>
    <row r="3" spans="1:8" x14ac:dyDescent="0.25">
      <c r="A3" s="82">
        <v>13</v>
      </c>
      <c r="B3" s="60" t="s">
        <v>529</v>
      </c>
      <c r="C3" s="60">
        <v>3.49</v>
      </c>
      <c r="D3" s="60">
        <v>7.78</v>
      </c>
      <c r="E3" s="60">
        <v>16.23</v>
      </c>
      <c r="F3" s="60" t="s">
        <v>610</v>
      </c>
      <c r="G3" s="60">
        <v>27.15</v>
      </c>
      <c r="H3" s="83">
        <v>35.340000000000003</v>
      </c>
    </row>
    <row r="4" spans="1:8" x14ac:dyDescent="0.25">
      <c r="A4" s="82">
        <v>14</v>
      </c>
      <c r="B4" s="60" t="s">
        <v>532</v>
      </c>
      <c r="C4" s="60">
        <v>1.73</v>
      </c>
      <c r="D4" s="60">
        <v>11.98</v>
      </c>
      <c r="E4" s="60">
        <v>13.24</v>
      </c>
      <c r="F4" s="60" t="s">
        <v>535</v>
      </c>
      <c r="G4" s="60">
        <v>20.7</v>
      </c>
      <c r="H4" s="83">
        <v>85.14</v>
      </c>
    </row>
    <row r="5" spans="1:8" x14ac:dyDescent="0.25">
      <c r="A5" s="82">
        <v>9</v>
      </c>
      <c r="B5" s="60" t="s">
        <v>501</v>
      </c>
      <c r="C5" s="60">
        <v>4.17</v>
      </c>
      <c r="D5" s="60">
        <v>12.89</v>
      </c>
      <c r="E5" s="60">
        <v>16.2</v>
      </c>
      <c r="F5" s="60" t="s">
        <v>505</v>
      </c>
      <c r="G5" s="60">
        <v>53.8</v>
      </c>
      <c r="H5" s="83">
        <v>50.92</v>
      </c>
    </row>
    <row r="6" spans="1:8" x14ac:dyDescent="0.25">
      <c r="A6" s="82">
        <v>12</v>
      </c>
      <c r="B6" s="60" t="s">
        <v>522</v>
      </c>
      <c r="C6" s="60">
        <v>0.87</v>
      </c>
      <c r="D6" s="60">
        <v>30.04</v>
      </c>
      <c r="E6" s="60">
        <v>13.68</v>
      </c>
      <c r="F6" s="60" t="s">
        <v>527</v>
      </c>
      <c r="G6" s="60">
        <v>26.2</v>
      </c>
      <c r="H6" s="83">
        <v>75.209999999999994</v>
      </c>
    </row>
    <row r="7" spans="1:8" x14ac:dyDescent="0.25">
      <c r="A7" s="82">
        <v>5</v>
      </c>
      <c r="B7" s="60" t="s">
        <v>200</v>
      </c>
      <c r="C7" s="60">
        <v>2.66</v>
      </c>
      <c r="D7" s="60">
        <v>9.9600000000000009</v>
      </c>
      <c r="E7" s="60">
        <v>14.43</v>
      </c>
      <c r="F7" s="60" t="s">
        <v>607</v>
      </c>
      <c r="G7" s="60">
        <v>26.55</v>
      </c>
      <c r="H7" s="83">
        <v>71.709999999999994</v>
      </c>
    </row>
    <row r="8" spans="1:8" x14ac:dyDescent="0.25">
      <c r="A8" s="82">
        <v>10</v>
      </c>
      <c r="B8" s="60" t="s">
        <v>506</v>
      </c>
      <c r="C8" s="60">
        <v>1.48</v>
      </c>
      <c r="D8" s="60">
        <v>18.25</v>
      </c>
      <c r="E8" s="60">
        <v>19.649999999999999</v>
      </c>
      <c r="F8" s="60" t="s">
        <v>608</v>
      </c>
      <c r="G8" s="60">
        <v>27.1</v>
      </c>
      <c r="H8" s="83">
        <v>70.42</v>
      </c>
    </row>
    <row r="9" spans="1:8" x14ac:dyDescent="0.25">
      <c r="A9" s="82">
        <v>11</v>
      </c>
      <c r="B9" s="60" t="s">
        <v>198</v>
      </c>
      <c r="C9" s="60">
        <v>1.49</v>
      </c>
      <c r="D9" s="60">
        <v>15.17</v>
      </c>
      <c r="E9" s="60">
        <v>16.05</v>
      </c>
      <c r="F9" s="60" t="s">
        <v>609</v>
      </c>
      <c r="G9" s="60">
        <v>22.5</v>
      </c>
      <c r="H9" s="83">
        <v>79.64</v>
      </c>
    </row>
    <row r="10" spans="1:8" x14ac:dyDescent="0.25">
      <c r="A10" s="82">
        <v>8</v>
      </c>
      <c r="B10" s="60" t="s">
        <v>495</v>
      </c>
      <c r="C10" s="60">
        <v>3.55</v>
      </c>
      <c r="D10" s="60">
        <v>9.39</v>
      </c>
      <c r="E10" s="60">
        <v>16.399999999999999</v>
      </c>
      <c r="F10" s="60" t="s">
        <v>499</v>
      </c>
      <c r="G10" s="60">
        <v>33.35</v>
      </c>
      <c r="H10" s="83">
        <v>85.66</v>
      </c>
    </row>
    <row r="11" spans="1:8" x14ac:dyDescent="0.25">
      <c r="A11" s="82">
        <v>7</v>
      </c>
      <c r="B11" s="60" t="s">
        <v>196</v>
      </c>
      <c r="C11" s="60">
        <v>4.3</v>
      </c>
      <c r="D11" s="60">
        <v>12.32</v>
      </c>
      <c r="E11" s="60">
        <v>21.51</v>
      </c>
      <c r="F11" s="60" t="s">
        <v>489</v>
      </c>
      <c r="G11" s="60">
        <v>53</v>
      </c>
      <c r="H11" s="83">
        <v>67.23</v>
      </c>
    </row>
    <row r="12" spans="1:8" x14ac:dyDescent="0.25">
      <c r="A12" s="82">
        <v>1</v>
      </c>
      <c r="B12" s="60" t="s">
        <v>367</v>
      </c>
      <c r="C12" s="60">
        <v>2.99</v>
      </c>
      <c r="D12" s="60">
        <v>9.92</v>
      </c>
      <c r="E12" s="60">
        <v>18.14</v>
      </c>
      <c r="F12" s="60" t="s">
        <v>449</v>
      </c>
      <c r="G12" s="60">
        <v>29.6</v>
      </c>
      <c r="H12" s="83">
        <v>54.65</v>
      </c>
    </row>
    <row r="13" spans="1:8" x14ac:dyDescent="0.25">
      <c r="A13" s="82">
        <v>4</v>
      </c>
      <c r="B13" s="60" t="s">
        <v>481</v>
      </c>
      <c r="C13" s="60">
        <v>3.43</v>
      </c>
      <c r="D13" s="60">
        <v>11.49</v>
      </c>
      <c r="E13" s="60">
        <v>20.74</v>
      </c>
      <c r="F13" s="60" t="s">
        <v>606</v>
      </c>
      <c r="G13" s="60">
        <v>39.450000000000003</v>
      </c>
      <c r="H13" s="83">
        <v>66.83</v>
      </c>
    </row>
    <row r="14" spans="1:8" x14ac:dyDescent="0.25">
      <c r="A14" s="82">
        <v>2</v>
      </c>
      <c r="B14" s="60" t="s">
        <v>451</v>
      </c>
      <c r="C14" s="60">
        <v>4.97</v>
      </c>
      <c r="D14" s="60">
        <v>19.82</v>
      </c>
      <c r="E14" s="60">
        <v>25.35</v>
      </c>
      <c r="F14" s="60" t="s">
        <v>453</v>
      </c>
      <c r="G14" s="60">
        <v>98.6</v>
      </c>
      <c r="H14" s="83">
        <v>7.65</v>
      </c>
    </row>
    <row r="15" spans="1:8" x14ac:dyDescent="0.25">
      <c r="A15" s="82">
        <v>6</v>
      </c>
      <c r="B15" s="60" t="s">
        <v>197</v>
      </c>
      <c r="C15" s="60">
        <v>3.68</v>
      </c>
      <c r="D15" s="60">
        <v>10.79</v>
      </c>
      <c r="E15" s="60">
        <v>22.78</v>
      </c>
      <c r="F15" s="60" t="s">
        <v>479</v>
      </c>
      <c r="G15" s="60">
        <v>39.700000000000003</v>
      </c>
      <c r="H15" s="83">
        <v>12.45</v>
      </c>
    </row>
    <row r="16" spans="1:8" x14ac:dyDescent="0.25">
      <c r="A16" s="82">
        <v>3</v>
      </c>
      <c r="B16" s="60" t="s">
        <v>454</v>
      </c>
      <c r="C16" s="60">
        <v>1.74</v>
      </c>
      <c r="D16" s="60">
        <v>23.28</v>
      </c>
      <c r="E16" s="60">
        <v>19</v>
      </c>
      <c r="F16" s="60" t="s">
        <v>473</v>
      </c>
      <c r="G16" s="60">
        <v>40.450000000000003</v>
      </c>
      <c r="H16" s="83">
        <v>4.01</v>
      </c>
    </row>
    <row r="17" spans="1:8" x14ac:dyDescent="0.25">
      <c r="A17" s="82">
        <v>17</v>
      </c>
      <c r="B17" s="60" t="s">
        <v>545</v>
      </c>
      <c r="C17" s="60">
        <v>0</v>
      </c>
      <c r="D17" s="60">
        <v>5739</v>
      </c>
      <c r="E17" s="60">
        <v>10.48</v>
      </c>
      <c r="F17" s="60" t="s">
        <v>613</v>
      </c>
      <c r="G17" s="60">
        <v>17.100000000000001</v>
      </c>
      <c r="H17" s="83">
        <v>88.25</v>
      </c>
    </row>
    <row r="18" spans="1:8" x14ac:dyDescent="0.25">
      <c r="A18" s="82">
        <v>18</v>
      </c>
      <c r="B18" s="60" t="s">
        <v>555</v>
      </c>
      <c r="C18" s="60">
        <v>1.88</v>
      </c>
      <c r="D18" s="60">
        <v>8.7200000000000006</v>
      </c>
      <c r="E18" s="60">
        <v>16.96</v>
      </c>
      <c r="F18" s="60" t="s">
        <v>611</v>
      </c>
      <c r="G18" s="60">
        <v>16.399999999999999</v>
      </c>
      <c r="H18" s="83">
        <v>79.599999999999994</v>
      </c>
    </row>
    <row r="19" spans="1:8" x14ac:dyDescent="0.25">
      <c r="A19" s="82">
        <v>19</v>
      </c>
      <c r="B19" s="60" t="s">
        <v>559</v>
      </c>
      <c r="C19" s="60">
        <v>0.59</v>
      </c>
      <c r="D19" s="60">
        <v>22.47</v>
      </c>
      <c r="E19" s="60">
        <v>10.19</v>
      </c>
      <c r="F19" s="60" t="s">
        <v>612</v>
      </c>
      <c r="G19" s="60">
        <v>13.5</v>
      </c>
      <c r="H19" s="83">
        <v>84.21</v>
      </c>
    </row>
    <row r="20" spans="1:8" x14ac:dyDescent="0.25">
      <c r="A20" s="82">
        <v>16</v>
      </c>
      <c r="B20" s="60" t="s">
        <v>541</v>
      </c>
      <c r="C20" s="60">
        <v>1.69</v>
      </c>
      <c r="D20" s="60">
        <v>9.6</v>
      </c>
      <c r="E20" s="60">
        <v>15.6</v>
      </c>
      <c r="F20" s="60" t="s">
        <v>544</v>
      </c>
      <c r="G20" s="60">
        <v>16.399999999999999</v>
      </c>
      <c r="H20" s="83">
        <v>42.95</v>
      </c>
    </row>
    <row r="21" spans="1:8" x14ac:dyDescent="0.2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D358C-7634-4374-9491-1CE5E3A36BFF}">
  <dimension ref="A1:M32"/>
  <sheetViews>
    <sheetView topLeftCell="A14" workbookViewId="0">
      <selection activeCell="G34" sqref="G34"/>
    </sheetView>
  </sheetViews>
  <sheetFormatPr defaultRowHeight="15" x14ac:dyDescent="0.25"/>
  <cols>
    <col min="8" max="8" width="11" bestFit="1" customWidth="1"/>
    <col min="11" max="11" width="12.7109375" style="94" bestFit="1" customWidth="1"/>
    <col min="12" max="12" width="12.7109375" bestFit="1" customWidth="1"/>
    <col min="13" max="13" width="13" customWidth="1"/>
  </cols>
  <sheetData>
    <row r="1" spans="1:13" x14ac:dyDescent="0.25">
      <c r="A1" t="s">
        <v>605</v>
      </c>
    </row>
    <row r="3" spans="1:13" x14ac:dyDescent="0.2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2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2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2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2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2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2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2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2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2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2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2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2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2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2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2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2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2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2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2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2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2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2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2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2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2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2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2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2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2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3297E-B88A-45D7-A63B-B3F6BFB51BF0}">
  <dimension ref="A1:AB284"/>
  <sheetViews>
    <sheetView topLeftCell="B1" zoomScaleNormal="100" workbookViewId="0">
      <selection activeCell="L13" sqref="L13"/>
    </sheetView>
  </sheetViews>
  <sheetFormatPr defaultRowHeight="15" x14ac:dyDescent="0.25"/>
  <cols>
    <col min="1" max="1" width="9.140625" customWidth="1"/>
    <col min="2" max="2" width="3.85546875" customWidth="1"/>
    <col min="3" max="3" width="5.5703125" customWidth="1"/>
    <col min="4" max="4" width="8.42578125" style="18" customWidth="1"/>
    <col min="5" max="5" width="10" bestFit="1" customWidth="1"/>
    <col min="6" max="6" width="6.85546875" customWidth="1"/>
    <col min="7" max="7" width="7.42578125" customWidth="1"/>
    <col min="8" max="8" width="6.7109375" style="72" customWidth="1"/>
    <col min="9" max="9" width="7.85546875" style="68" bestFit="1" customWidth="1"/>
    <col min="10" max="10" width="13.28515625" style="22" customWidth="1"/>
    <col min="11" max="11" width="13.28515625" customWidth="1"/>
    <col min="13" max="13" width="15.140625" customWidth="1"/>
    <col min="14" max="14" width="12" customWidth="1"/>
    <col min="15" max="15" width="11.140625" bestFit="1" customWidth="1"/>
    <col min="16" max="16" width="10.140625" bestFit="1" customWidth="1"/>
    <col min="18" max="18" width="10.5703125" bestFit="1" customWidth="1"/>
    <col min="19" max="20" width="11.5703125" bestFit="1" customWidth="1"/>
  </cols>
  <sheetData>
    <row r="1" spans="1:28" ht="23.25" x14ac:dyDescent="0.35">
      <c r="A1" s="158" t="s">
        <v>1120</v>
      </c>
      <c r="N1">
        <v>2022</v>
      </c>
      <c r="O1">
        <v>2021</v>
      </c>
      <c r="P1">
        <v>2020</v>
      </c>
      <c r="Q1">
        <v>2019</v>
      </c>
    </row>
    <row r="2" spans="1:28" x14ac:dyDescent="0.2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55025.942279999988</v>
      </c>
      <c r="O2" s="15">
        <v>62924</v>
      </c>
      <c r="P2" s="15">
        <v>8530.9500000000007</v>
      </c>
      <c r="Q2" s="17">
        <v>869.53</v>
      </c>
      <c r="T2" t="s">
        <v>278</v>
      </c>
    </row>
    <row r="3" spans="1:28" x14ac:dyDescent="0.25">
      <c r="A3" s="42"/>
      <c r="B3" s="14"/>
      <c r="C3" s="14"/>
      <c r="D3" s="16"/>
      <c r="E3" s="14"/>
      <c r="F3" s="14"/>
      <c r="G3" s="14"/>
      <c r="H3" s="71"/>
      <c r="I3" s="67"/>
      <c r="J3" s="24"/>
      <c r="K3" s="45"/>
      <c r="L3" t="s">
        <v>756</v>
      </c>
      <c r="M3" s="13" t="s">
        <v>142</v>
      </c>
      <c r="N3" s="13">
        <f>PS!M3+100+11+11+11+11+11+11+11+11+22+16.5</f>
        <v>386</v>
      </c>
      <c r="O3" s="13">
        <f>4.4+4.4+4.4+107+50+50+50+4.4+100+50+4.4+110+4.4+70-I112-I116-I120-I109-11-I107-I105+4.4+4.4+16.5+16.5+4.5*3+4.5+2.2+2.2</f>
        <v>3598.6</v>
      </c>
      <c r="P3" s="13">
        <f>4.4+4.4+4.4+4.4+4.4+4.4+4.4+4.4+4.4+4.4+4.4+54+50+4.4+4.4+4.4+4.4+4.4+4.4+4.4+4.4+356+4.4</f>
        <v>548</v>
      </c>
      <c r="Q3" s="12">
        <f>17.6+4.4+4.4+4.4+4.4+4.4+4.4+4.4</f>
        <v>48.399999999999991</v>
      </c>
      <c r="S3" s="28" t="s">
        <v>1121</v>
      </c>
      <c r="T3" s="2" t="s">
        <v>281</v>
      </c>
    </row>
    <row r="4" spans="1:28" x14ac:dyDescent="0.25">
      <c r="A4" s="43"/>
      <c r="B4" s="14"/>
      <c r="C4" s="14"/>
      <c r="D4" s="16"/>
      <c r="E4" s="14"/>
      <c r="F4" s="14"/>
      <c r="G4" s="14"/>
      <c r="H4" s="97"/>
      <c r="I4" s="67"/>
      <c r="J4" s="98"/>
      <c r="K4" s="45"/>
      <c r="L4" t="s">
        <v>756</v>
      </c>
      <c r="M4" s="13" t="s">
        <v>140</v>
      </c>
      <c r="N4" s="21">
        <f>SUM(G:G)-O4-P4</f>
        <v>-22500</v>
      </c>
      <c r="O4" s="21">
        <v>25500</v>
      </c>
      <c r="P4" s="21">
        <v>228070</v>
      </c>
      <c r="Q4" s="20">
        <f>95930+1300</f>
        <v>97230</v>
      </c>
      <c r="U4" s="2" t="s">
        <v>390</v>
      </c>
    </row>
    <row r="5" spans="1:28" x14ac:dyDescent="0.2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25">
      <c r="A6" s="43"/>
      <c r="B6" s="14"/>
      <c r="C6" s="14"/>
      <c r="D6" s="16"/>
      <c r="E6" s="14"/>
      <c r="F6" s="14"/>
      <c r="G6" s="14"/>
      <c r="H6" s="97"/>
      <c r="I6" s="67"/>
      <c r="J6" s="98"/>
      <c r="K6" s="45"/>
      <c r="L6" t="s">
        <v>756</v>
      </c>
      <c r="M6" s="13" t="s">
        <v>144</v>
      </c>
      <c r="N6" s="21">
        <f ca="1">-N9+0*J86+PS!M6*0+N12+J77+J73+J75+5080+J71+J69+J67+J65+J63+J61+J59+J56+J54+J48+J50+J52+J46+J44+J42+J40+J38+8230+J36+J35+J33+J34+J27+J32+J31+J30+J29+J26+J24+J22+1000+J20+J10+J16+J14+J12</f>
        <v>-60321.046583332754</v>
      </c>
      <c r="O6" s="21">
        <f>-O9+1*J86+29000-16000-800-22000-500-2200+7900+9200+4700+1000+500+7900+J135+J133+J131+11000+J127+J129+J125+J123+J121+J119+J117+J115+J113+J111+274+J110-5000+J108+J106+J102+J104+I105+1850+J100+J98+J96+J94+J93+J91+J89+J88+J84</f>
        <v>41746.803221148322</v>
      </c>
      <c r="P6" s="36">
        <f>2300+7000-250+900+400+640+3300+13100-1105+7500</f>
        <v>33785</v>
      </c>
      <c r="Q6" s="20">
        <v>5570</v>
      </c>
      <c r="V6" s="2" t="s">
        <v>747</v>
      </c>
    </row>
    <row r="7" spans="1:28" x14ac:dyDescent="0.25">
      <c r="A7" s="43"/>
      <c r="B7" s="14"/>
      <c r="C7" s="14"/>
      <c r="D7" s="16"/>
      <c r="E7" s="14"/>
      <c r="F7" s="14"/>
      <c r="G7" s="14"/>
      <c r="H7" s="97"/>
      <c r="I7" s="67"/>
      <c r="J7" s="98"/>
      <c r="K7" s="45"/>
      <c r="L7" t="s">
        <v>756</v>
      </c>
      <c r="M7" s="13" t="s">
        <v>387</v>
      </c>
      <c r="N7" s="36">
        <f ca="1">SUM(N4:N6)</f>
        <v>234425.75663781556</v>
      </c>
      <c r="O7" s="36">
        <f>SUM(O4:O6)</f>
        <v>317246.80322114832</v>
      </c>
      <c r="P7" s="12"/>
      <c r="Q7" s="12"/>
      <c r="S7" s="18"/>
      <c r="V7" s="2" t="s">
        <v>280</v>
      </c>
    </row>
    <row r="8" spans="1:28" x14ac:dyDescent="0.25">
      <c r="A8" s="44"/>
      <c r="B8" s="12"/>
      <c r="C8" s="12"/>
      <c r="D8" s="17"/>
      <c r="E8" s="12"/>
      <c r="F8" s="12"/>
      <c r="G8" s="12"/>
      <c r="H8" s="97"/>
      <c r="I8" s="67"/>
      <c r="J8" s="161"/>
      <c r="K8" s="49"/>
      <c r="L8" t="s">
        <v>756</v>
      </c>
      <c r="M8" s="13" t="s">
        <v>407</v>
      </c>
      <c r="N8" s="65">
        <f ca="1">ROUNDDOWN((N6/(N4+N5)),3)</f>
        <v>-0.20399999999999999</v>
      </c>
      <c r="O8" s="65">
        <f>ROUNDDOWN((O6/(O4+O5)),3)</f>
        <v>0.151</v>
      </c>
      <c r="P8" s="65">
        <f>ROUNDDOWN((P6/(P4+P5)),3)</f>
        <v>0.10199999999999999</v>
      </c>
      <c r="Q8" s="12">
        <f>SUMIF(C:C,"PPC",F:F)</f>
        <v>0</v>
      </c>
      <c r="S8" s="37"/>
      <c r="T8" s="2" t="s">
        <v>282</v>
      </c>
    </row>
    <row r="9" spans="1:28" x14ac:dyDescent="0.2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25">
      <c r="A10" s="43">
        <f ca="1">TODAY()</f>
        <v>44750</v>
      </c>
      <c r="B10" s="14" t="s">
        <v>90</v>
      </c>
      <c r="C10" s="14" t="s">
        <v>907</v>
      </c>
      <c r="D10" s="16">
        <f>-F10*E10*0.0025</f>
        <v>332.5</v>
      </c>
      <c r="E10" s="14">
        <v>13.3</v>
      </c>
      <c r="F10" s="14">
        <v>-10000</v>
      </c>
      <c r="G10" s="14"/>
      <c r="H10" s="97">
        <f ca="1">Table1[[#This Row],[Result]]/(E11*F11)</f>
        <v>-0.16093071190327288</v>
      </c>
      <c r="I10" s="69">
        <f ca="1">Table1[[#This Row],[Date]]-A11</f>
        <v>18</v>
      </c>
      <c r="J10" s="162">
        <f ca="1">-Table1[[#This Row],[Price]]*Table1[[#This Row],[Volume]]-E11*F11-Table1[[#This Row],[Commission]]-D11+I11</f>
        <v>-25732.820833333331</v>
      </c>
      <c r="K10" s="121" t="s">
        <v>1272</v>
      </c>
      <c r="L10" t="s">
        <v>756</v>
      </c>
      <c r="M10" s="38" t="s">
        <v>408</v>
      </c>
      <c r="N10" s="38"/>
      <c r="O10" s="14">
        <f>SUMIF(C:C,"TDH",F:F)</f>
        <v>0</v>
      </c>
      <c r="P10" s="14">
        <v>0</v>
      </c>
      <c r="Q10" s="12">
        <v>2490</v>
      </c>
      <c r="S10" s="37"/>
      <c r="T10" s="2" t="s">
        <v>288</v>
      </c>
    </row>
    <row r="11" spans="1:28" x14ac:dyDescent="0.25">
      <c r="A11" s="43">
        <v>44732</v>
      </c>
      <c r="B11" s="14" t="s">
        <v>62</v>
      </c>
      <c r="C11" s="14" t="s">
        <v>907</v>
      </c>
      <c r="D11" s="16">
        <f>F11*E11*0.0015</f>
        <v>239.85</v>
      </c>
      <c r="E11" s="14">
        <f>ROUNDUP((10*16.3+10*16.35+10*16.15+(13*10*0+1*15.125*10))/40,2)</f>
        <v>15.99</v>
      </c>
      <c r="F11" s="14">
        <v>10000</v>
      </c>
      <c r="G11" s="14"/>
      <c r="H11" s="97"/>
      <c r="I11" s="67">
        <f ca="1">-105/360*(I10+1)*Table1[[#This Row],[Notes]]</f>
        <v>1739.5291666666667</v>
      </c>
      <c r="J11" s="98">
        <f>Table1[[#This Row],[Volume]]*Table1[[#This Row],[Price]]</f>
        <v>159900</v>
      </c>
      <c r="K11" s="109">
        <f>Table1[[#This Row],[Result]]/1000-(446+8.8+7+12)</f>
        <v>-313.89999999999998</v>
      </c>
      <c r="L11" t="s">
        <v>756</v>
      </c>
      <c r="M11" s="38" t="s">
        <v>326</v>
      </c>
      <c r="N11" s="38"/>
      <c r="O11" s="14">
        <f>SUMIF(C:C,"KBC",F:F)</f>
        <v>0</v>
      </c>
      <c r="P11" s="39">
        <f>SUMIF(C:C,"ITA",F:F)</f>
        <v>-200</v>
      </c>
      <c r="Q11" s="40"/>
      <c r="S11" s="18"/>
      <c r="T11" s="2"/>
      <c r="U11" s="2" t="s">
        <v>289</v>
      </c>
    </row>
    <row r="12" spans="1:28" x14ac:dyDescent="0.25">
      <c r="A12" s="43">
        <v>44748</v>
      </c>
      <c r="B12" s="14" t="s">
        <v>90</v>
      </c>
      <c r="C12" s="14" t="s">
        <v>907</v>
      </c>
      <c r="D12" s="16">
        <f>-F12*E12*0.0025</f>
        <v>1031.25</v>
      </c>
      <c r="E12" s="14">
        <f>(2*13.775+13.7)/3</f>
        <v>13.75</v>
      </c>
      <c r="F12" s="14">
        <v>-30000</v>
      </c>
      <c r="G12" s="14"/>
      <c r="H12" s="97">
        <f>Table1[[#This Row],[Result]]/(E13*F13)</f>
        <v>-0.13741457023060796</v>
      </c>
      <c r="I12" s="69">
        <f>Table1[[#This Row],[Date]]-A13</f>
        <v>2</v>
      </c>
      <c r="J12" s="107">
        <f>-Table1[[#This Row],[Price]]*Table1[[#This Row],[Volume]]-E13*F13-Table1[[#This Row],[Commission]]-D13+I13</f>
        <v>-65546.75</v>
      </c>
      <c r="K12" s="121" t="s">
        <v>1265</v>
      </c>
      <c r="L12" t="s">
        <v>756</v>
      </c>
      <c r="M12" s="13" t="s">
        <v>1176</v>
      </c>
      <c r="N12" s="13">
        <f>4000-5000</f>
        <v>-1000</v>
      </c>
      <c r="O12" s="13">
        <f>2+3-4</f>
        <v>1</v>
      </c>
      <c r="P12" s="14">
        <f>0.4+1.2+0.7+2+1.2+3.2+2</f>
        <v>10.7</v>
      </c>
      <c r="Q12" s="12"/>
      <c r="T12" s="2"/>
      <c r="U12" s="2" t="s">
        <v>290</v>
      </c>
    </row>
    <row r="13" spans="1:28" x14ac:dyDescent="0.25">
      <c r="A13" s="43">
        <v>44746</v>
      </c>
      <c r="B13" s="14" t="s">
        <v>62</v>
      </c>
      <c r="C13" s="14" t="s">
        <v>907</v>
      </c>
      <c r="D13" s="16">
        <f>F13*E13*0.0015</f>
        <v>715.5</v>
      </c>
      <c r="E13" s="14">
        <v>15.9</v>
      </c>
      <c r="F13" s="14">
        <v>30000</v>
      </c>
      <c r="G13" s="14"/>
      <c r="H13" s="97"/>
      <c r="I13" s="67">
        <v>700</v>
      </c>
      <c r="J13" s="98">
        <f>Table1[[#This Row],[Volume]]*Table1[[#This Row],[Price]]</f>
        <v>477000</v>
      </c>
      <c r="K13" s="109"/>
      <c r="L13" t="s">
        <v>756</v>
      </c>
      <c r="M13" s="38"/>
      <c r="N13" s="163"/>
      <c r="O13" s="34"/>
      <c r="P13" s="31"/>
      <c r="S13" s="132"/>
      <c r="T13" s="31"/>
      <c r="U13" s="31"/>
      <c r="V13" s="31"/>
      <c r="W13" s="31"/>
      <c r="X13" s="31"/>
      <c r="Y13" s="31"/>
      <c r="Z13" s="31"/>
      <c r="AA13" s="31"/>
      <c r="AB13" s="31"/>
    </row>
    <row r="14" spans="1:28" x14ac:dyDescent="0.25">
      <c r="A14" s="43">
        <v>44743</v>
      </c>
      <c r="B14" s="14" t="s">
        <v>90</v>
      </c>
      <c r="C14" s="14" t="s">
        <v>907</v>
      </c>
      <c r="D14" s="16">
        <f>-F14*E14*0.0025</f>
        <v>184.375</v>
      </c>
      <c r="E14" s="14">
        <v>14.75</v>
      </c>
      <c r="F14" s="14">
        <v>-5000</v>
      </c>
      <c r="G14" s="14"/>
      <c r="H14" s="97">
        <f>Table1[[#This Row],[Result]]/(E15*F15)</f>
        <v>2.3804878048780488E-2</v>
      </c>
      <c r="I14" s="69">
        <f>Table1[[#This Row],[Date]]-A15</f>
        <v>0</v>
      </c>
      <c r="J14" s="105">
        <f>-Table1[[#This Row],[Price]]*Table1[[#This Row],[Volume]]-E15*F15-Table1[[#This Row],[Commission]]-D15+I15</f>
        <v>1708</v>
      </c>
      <c r="K14" s="121" t="s">
        <v>1259</v>
      </c>
      <c r="L14" t="s">
        <v>756</v>
      </c>
      <c r="M14" s="33" t="s">
        <v>716</v>
      </c>
      <c r="N14" s="33"/>
      <c r="O14" s="34"/>
      <c r="P14" s="31">
        <f>6%/12*275000*10</f>
        <v>13750</v>
      </c>
      <c r="R14" s="122" t="s">
        <v>894</v>
      </c>
      <c r="S14" s="132"/>
      <c r="T14" s="130"/>
      <c r="U14" s="31"/>
      <c r="V14" s="31"/>
      <c r="W14" s="31"/>
      <c r="X14" s="31"/>
      <c r="Y14" s="31"/>
      <c r="Z14" s="31"/>
      <c r="AA14" s="31"/>
      <c r="AB14" s="31"/>
    </row>
    <row r="15" spans="1:28" x14ac:dyDescent="0.25">
      <c r="A15" s="43">
        <v>44743</v>
      </c>
      <c r="B15" s="14" t="s">
        <v>62</v>
      </c>
      <c r="C15" s="14" t="s">
        <v>907</v>
      </c>
      <c r="D15" s="16">
        <f>F15*E15*0.0015</f>
        <v>107.625</v>
      </c>
      <c r="E15" s="14">
        <v>14.35</v>
      </c>
      <c r="F15" s="14">
        <v>5000</v>
      </c>
      <c r="G15" s="14"/>
      <c r="H15" s="97"/>
      <c r="I15" s="67"/>
      <c r="J15" s="98">
        <f>Table1[[#This Row],[Volume]]*Table1[[#This Row],[Price]]</f>
        <v>71750</v>
      </c>
      <c r="K15" s="109"/>
      <c r="L15" t="s">
        <v>756</v>
      </c>
      <c r="M15" s="33" t="s">
        <v>899</v>
      </c>
      <c r="N15" s="31"/>
      <c r="O15" s="31"/>
      <c r="P15" s="31">
        <f>6%/12*450000/30</f>
        <v>75</v>
      </c>
      <c r="R15" t="s">
        <v>895</v>
      </c>
      <c r="S15" s="133"/>
      <c r="T15" s="31"/>
      <c r="U15" s="31"/>
      <c r="V15" s="31"/>
      <c r="W15" s="31"/>
      <c r="X15" s="31"/>
      <c r="Y15" s="31"/>
      <c r="Z15" s="31"/>
      <c r="AA15" s="31"/>
      <c r="AB15" s="31"/>
    </row>
    <row r="16" spans="1:28" x14ac:dyDescent="0.25">
      <c r="A16" s="43">
        <v>44741</v>
      </c>
      <c r="B16" s="14" t="s">
        <v>90</v>
      </c>
      <c r="C16" s="14" t="s">
        <v>907</v>
      </c>
      <c r="D16" s="16">
        <f>-F16*E16*0.0025</f>
        <v>424.875</v>
      </c>
      <c r="E16" s="14">
        <v>15.45</v>
      </c>
      <c r="F16" s="14">
        <v>-11000</v>
      </c>
      <c r="G16" s="14"/>
      <c r="H16" s="97">
        <f>Table1[[#This Row],[Result]]/(E17*F17)</f>
        <v>2.4280586236193714E-2</v>
      </c>
      <c r="I16" s="69">
        <f>Table1[[#This Row],[Date]]-A17</f>
        <v>9</v>
      </c>
      <c r="J16" s="105">
        <f>-Table1[[#This Row],[Price]]*Table1[[#This Row],[Volume]]-E17*F17-Table1[[#This Row],[Commission]]-D17+I17</f>
        <v>4000.9549999999999</v>
      </c>
      <c r="K16" s="121" t="s">
        <v>1248</v>
      </c>
      <c r="L16" t="s">
        <v>756</v>
      </c>
      <c r="M16" s="33"/>
      <c r="N16" s="31"/>
      <c r="O16" s="31"/>
      <c r="P16" s="31"/>
      <c r="S16" s="133"/>
      <c r="T16" s="31"/>
      <c r="U16" s="31"/>
      <c r="V16" s="31"/>
      <c r="W16" s="31"/>
      <c r="X16" s="31"/>
      <c r="Y16" s="31"/>
      <c r="Z16" s="31"/>
      <c r="AA16" s="31"/>
      <c r="AB16" s="31"/>
    </row>
    <row r="17" spans="1:28" x14ac:dyDescent="0.25">
      <c r="A17" s="43">
        <v>44732</v>
      </c>
      <c r="B17" s="14" t="s">
        <v>62</v>
      </c>
      <c r="C17" s="14" t="s">
        <v>907</v>
      </c>
      <c r="D17" s="16">
        <f>F17*E17*0.0015</f>
        <v>247.17000000000002</v>
      </c>
      <c r="E17" s="14">
        <f>ROUNDUP(((14.95*10+1*15.25)*1+0*10*16.27)/11,2)</f>
        <v>14.98</v>
      </c>
      <c r="F17" s="14">
        <v>11000</v>
      </c>
      <c r="G17" s="14"/>
      <c r="H17" s="97"/>
      <c r="I17" s="67">
        <v>-497</v>
      </c>
      <c r="J17" s="98">
        <f>Table1[[#This Row],[Volume]]*Table1[[#This Row],[Price]]</f>
        <v>164780</v>
      </c>
      <c r="K17" s="109"/>
      <c r="L17" t="s">
        <v>756</v>
      </c>
      <c r="M17" s="33" t="s">
        <v>1201</v>
      </c>
      <c r="N17" s="31" t="s">
        <v>1202</v>
      </c>
      <c r="O17" s="31"/>
      <c r="P17" s="31"/>
      <c r="S17" s="133"/>
      <c r="T17" s="134"/>
      <c r="U17" s="31"/>
      <c r="V17" s="31"/>
      <c r="W17" s="31"/>
      <c r="X17" s="31"/>
      <c r="Y17" s="31"/>
      <c r="Z17" s="31"/>
      <c r="AA17" s="31"/>
      <c r="AB17" s="31"/>
    </row>
    <row r="18" spans="1:28" x14ac:dyDescent="0.25">
      <c r="A18" s="43">
        <v>44735</v>
      </c>
      <c r="B18" s="14"/>
      <c r="C18" s="14"/>
      <c r="D18" s="16"/>
      <c r="E18" s="14"/>
      <c r="F18" s="14"/>
      <c r="G18" s="14">
        <f>8800+7200+7000+5500+5000</f>
        <v>33500</v>
      </c>
      <c r="H18" s="97"/>
      <c r="I18" s="67"/>
      <c r="J18" s="98"/>
      <c r="K18" s="45" t="s">
        <v>1227</v>
      </c>
      <c r="L18" t="s">
        <v>756</v>
      </c>
      <c r="M18" s="33" t="s">
        <v>1127</v>
      </c>
      <c r="N18" s="31" t="s">
        <v>1195</v>
      </c>
      <c r="O18" s="31"/>
      <c r="P18" s="31"/>
      <c r="S18" s="133"/>
      <c r="T18" s="135"/>
      <c r="U18" s="31"/>
    </row>
    <row r="19" spans="1:28" x14ac:dyDescent="0.25">
      <c r="A19" s="43">
        <v>44734</v>
      </c>
      <c r="B19" s="14"/>
      <c r="C19" s="14"/>
      <c r="D19" s="16"/>
      <c r="E19" s="14"/>
      <c r="F19" s="14"/>
      <c r="G19" s="14">
        <v>4500</v>
      </c>
      <c r="H19" s="97"/>
      <c r="I19" s="67"/>
      <c r="J19" s="98"/>
      <c r="K19" s="45" t="s">
        <v>1216</v>
      </c>
      <c r="L19" t="s">
        <v>756</v>
      </c>
      <c r="M19" s="33"/>
      <c r="N19" s="31"/>
      <c r="O19" s="31"/>
      <c r="P19" s="31"/>
      <c r="S19" s="133"/>
      <c r="T19" s="135"/>
    </row>
    <row r="20" spans="1:28" x14ac:dyDescent="0.25">
      <c r="A20" s="43">
        <v>44714</v>
      </c>
      <c r="B20" s="14" t="s">
        <v>90</v>
      </c>
      <c r="C20" s="14" t="s">
        <v>258</v>
      </c>
      <c r="D20" s="16">
        <f>-F20*E20*0.0025</f>
        <v>120</v>
      </c>
      <c r="E20" s="14">
        <v>24</v>
      </c>
      <c r="F20" s="14">
        <v>-2000</v>
      </c>
      <c r="G20" s="14"/>
      <c r="H20" s="71">
        <f>Table1[[#This Row],[Result]]/(E21*F21)</f>
        <v>-1.2243801652892563E-2</v>
      </c>
      <c r="I20" s="77">
        <f>Table1[[#This Row],[Date]]-A21</f>
        <v>6</v>
      </c>
      <c r="J20" s="59">
        <f>-Table1[[#This Row],[Price]]*Table1[[#This Row],[Volume]]-E21*F21-Table1[[#This Row],[Commission]]-D21+I21</f>
        <v>-592.6</v>
      </c>
      <c r="K20" s="45" t="s">
        <v>1143</v>
      </c>
      <c r="L20" t="s">
        <v>756</v>
      </c>
      <c r="M20" s="33"/>
      <c r="N20" s="31"/>
      <c r="O20" s="31"/>
      <c r="P20" s="31"/>
      <c r="S20" s="133"/>
      <c r="T20" s="31"/>
    </row>
    <row r="21" spans="1:28" x14ac:dyDescent="0.25">
      <c r="A21" s="43">
        <v>44708</v>
      </c>
      <c r="B21" s="14" t="s">
        <v>62</v>
      </c>
      <c r="C21" s="14" t="s">
        <v>258</v>
      </c>
      <c r="D21" s="16">
        <f>F21*E21*0.0015</f>
        <v>72.600000000000009</v>
      </c>
      <c r="E21" s="14">
        <v>24.2</v>
      </c>
      <c r="F21" s="14">
        <v>2000</v>
      </c>
      <c r="G21" s="14"/>
      <c r="H21" s="71"/>
      <c r="I21" s="67">
        <f>-105/360*(I20+1)*Table1[[#This Row],[Notes]]</f>
        <v>0</v>
      </c>
      <c r="J21" s="24">
        <f>Table1[[#This Row],[Volume]]*Table1[[#This Row],[Price]]</f>
        <v>48400</v>
      </c>
      <c r="K21" s="109"/>
      <c r="L21" t="s">
        <v>756</v>
      </c>
      <c r="M21" s="33"/>
      <c r="N21" s="31"/>
      <c r="O21" s="31"/>
      <c r="P21" s="31"/>
      <c r="S21" s="133"/>
      <c r="T21" s="31"/>
    </row>
    <row r="22" spans="1:28" x14ac:dyDescent="0.25">
      <c r="A22" s="43">
        <v>44705</v>
      </c>
      <c r="B22" s="14" t="s">
        <v>90</v>
      </c>
      <c r="C22" s="14" t="s">
        <v>907</v>
      </c>
      <c r="D22" s="16">
        <f>-F22*E22*0.0025</f>
        <v>1978.7</v>
      </c>
      <c r="E22" s="14">
        <f>ROUNDDOWN((30*16.7+10*16.95+7*17.3)/47,2)</f>
        <v>16.84</v>
      </c>
      <c r="F22" s="14">
        <v>-47000</v>
      </c>
      <c r="G22" s="14"/>
      <c r="H22" s="71">
        <f>Table1[[#This Row],[Result]]/(E23*F23)</f>
        <v>1.8087105451766932E-2</v>
      </c>
      <c r="I22" s="77">
        <f>Table1[[#This Row],[Date]]-A23</f>
        <v>6</v>
      </c>
      <c r="J22" s="61">
        <f>-Table1[[#This Row],[Price]]*Table1[[#This Row],[Volume]]-E23*F23-Table1[[#This Row],[Commission]]-D23+I23</f>
        <v>13997.647083333333</v>
      </c>
      <c r="K22" s="121" t="s">
        <v>1062</v>
      </c>
      <c r="L22" t="s">
        <v>756</v>
      </c>
      <c r="M22" s="33"/>
      <c r="N22" s="31"/>
      <c r="O22" s="31"/>
      <c r="P22" s="31"/>
      <c r="S22" s="133"/>
      <c r="T22" s="31"/>
    </row>
    <row r="23" spans="1:28" x14ac:dyDescent="0.25">
      <c r="A23" s="43">
        <v>44699</v>
      </c>
      <c r="B23" s="14" t="s">
        <v>62</v>
      </c>
      <c r="C23" s="14" t="s">
        <v>907</v>
      </c>
      <c r="D23" s="16">
        <f>F23*E23*0.0015</f>
        <v>1160.8530000000001</v>
      </c>
      <c r="E23" s="14">
        <v>16.466000000000001</v>
      </c>
      <c r="F23" s="14">
        <f>47000-16000*0</f>
        <v>47000</v>
      </c>
      <c r="G23" s="14"/>
      <c r="H23" s="71"/>
      <c r="I23" s="67">
        <f>-105/360*(I22+1)*Table1[[#This Row],[Notes]]</f>
        <v>-440.79991666666683</v>
      </c>
      <c r="J23" s="24">
        <f>Table1[[#This Row],[Volume]]*Table1[[#This Row],[Price]]</f>
        <v>773902</v>
      </c>
      <c r="K23" s="109">
        <f>Table1[[#This Row],[Result]]/1000-558</f>
        <v>215.90200000000004</v>
      </c>
      <c r="L23" t="s">
        <v>756</v>
      </c>
      <c r="M23" s="33" t="s">
        <v>1269</v>
      </c>
      <c r="N23" s="31" t="s">
        <v>1270</v>
      </c>
      <c r="O23" s="31"/>
      <c r="P23" s="31"/>
      <c r="S23" s="133"/>
      <c r="T23" s="31"/>
    </row>
    <row r="24" spans="1:28" x14ac:dyDescent="0.25">
      <c r="A24" s="43">
        <v>44692</v>
      </c>
      <c r="B24" s="14" t="s">
        <v>90</v>
      </c>
      <c r="C24" s="14" t="s">
        <v>907</v>
      </c>
      <c r="D24" s="16">
        <f>-F24*E24*0.0025</f>
        <v>226.25</v>
      </c>
      <c r="E24" s="14">
        <v>18.100000000000001</v>
      </c>
      <c r="F24" s="14">
        <v>-5000</v>
      </c>
      <c r="G24" s="14"/>
      <c r="H24" s="71">
        <f>Table1[[#This Row],[Result]]/(E25*F25)</f>
        <v>9.9705882352941182E-3</v>
      </c>
      <c r="I24" s="77">
        <f>Table1[[#This Row],[Date]]-A25</f>
        <v>2</v>
      </c>
      <c r="J24" s="61">
        <f>-Table1[[#This Row],[Price]]*Table1[[#This Row],[Volume]]-E25*F25-Table1[[#This Row],[Commission]]-D25+I25</f>
        <v>889.875</v>
      </c>
      <c r="K24" s="121" t="s">
        <v>1030</v>
      </c>
      <c r="L24" t="s">
        <v>756</v>
      </c>
      <c r="M24" s="33" t="s">
        <v>1264</v>
      </c>
      <c r="N24" s="31" t="s">
        <v>1266</v>
      </c>
      <c r="O24" s="31"/>
      <c r="P24" s="31"/>
      <c r="S24" s="133"/>
      <c r="T24" s="31"/>
    </row>
    <row r="25" spans="1:28" x14ac:dyDescent="0.25">
      <c r="A25" s="43">
        <v>44690</v>
      </c>
      <c r="B25" s="14" t="s">
        <v>62</v>
      </c>
      <c r="C25" s="14" t="s">
        <v>907</v>
      </c>
      <c r="D25" s="16">
        <f>F25*E25*0.0015</f>
        <v>133.875</v>
      </c>
      <c r="E25" s="14">
        <v>17.850000000000001</v>
      </c>
      <c r="F25" s="14">
        <v>5000</v>
      </c>
      <c r="G25" s="14"/>
      <c r="H25" s="71"/>
      <c r="I25" s="67">
        <f>-105/360*(I24+1)*Table1[[#This Row],[Notes]]</f>
        <v>0</v>
      </c>
      <c r="J25" s="24">
        <f>Table1[[#This Row],[Volume]]*Table1[[#This Row],[Price]]</f>
        <v>89250</v>
      </c>
      <c r="K25" s="109"/>
      <c r="L25" t="s">
        <v>756</v>
      </c>
      <c r="M25" s="33" t="s">
        <v>1260</v>
      </c>
      <c r="N25" s="31" t="s">
        <v>1263</v>
      </c>
      <c r="O25" s="31"/>
      <c r="P25" s="31"/>
      <c r="S25" s="133"/>
      <c r="T25" s="31"/>
    </row>
    <row r="26" spans="1:28" x14ac:dyDescent="0.25">
      <c r="A26" s="43">
        <v>44686</v>
      </c>
      <c r="B26" s="14" t="s">
        <v>969</v>
      </c>
      <c r="C26" s="14" t="s">
        <v>657</v>
      </c>
      <c r="D26" s="16">
        <f>63+37+37</f>
        <v>137</v>
      </c>
      <c r="E26" s="14">
        <v>1389</v>
      </c>
      <c r="F26" s="14">
        <v>1</v>
      </c>
      <c r="G26" s="14"/>
      <c r="H26" s="97"/>
      <c r="I26" s="67"/>
      <c r="J26" s="142">
        <f>100+230-Table1[[#This Row],[Commission]]+20</f>
        <v>213</v>
      </c>
      <c r="K26" s="45" t="s">
        <v>992</v>
      </c>
      <c r="L26" t="s">
        <v>756</v>
      </c>
      <c r="M26" s="33" t="s">
        <v>1252</v>
      </c>
      <c r="N26" s="31" t="s">
        <v>1255</v>
      </c>
      <c r="O26" s="31"/>
      <c r="P26" s="31"/>
      <c r="S26" s="133"/>
      <c r="T26" s="31"/>
    </row>
    <row r="27" spans="1:28" x14ac:dyDescent="0.25">
      <c r="A27" s="43">
        <v>44691</v>
      </c>
      <c r="B27" s="14" t="s">
        <v>90</v>
      </c>
      <c r="C27" s="14" t="s">
        <v>907</v>
      </c>
      <c r="D27" s="16">
        <f>-F27*E27*0.0025</f>
        <v>1730</v>
      </c>
      <c r="E27" s="14">
        <v>17.3</v>
      </c>
      <c r="F27" s="14">
        <v>-40000</v>
      </c>
      <c r="G27" s="14"/>
      <c r="H27" s="71">
        <f>Table1[[#This Row],[Result]]/(E28*F28)</f>
        <v>-0.16010780528455285</v>
      </c>
      <c r="I27" s="77">
        <f>Table1[[#This Row],[Date]]-A28+2</f>
        <v>7</v>
      </c>
      <c r="J27" s="59">
        <f>-Table1[[#This Row],[Price]]*Table1[[#This Row],[Volume]]-E28*F28-Table1[[#This Row],[Commission]]-D28+I28</f>
        <v>-131288.40033333332</v>
      </c>
      <c r="K27" s="121" t="s">
        <v>1033</v>
      </c>
      <c r="L27" t="s">
        <v>756</v>
      </c>
      <c r="M27" s="33" t="s">
        <v>1247</v>
      </c>
      <c r="N27" s="31" t="s">
        <v>1250</v>
      </c>
      <c r="O27" s="31"/>
      <c r="P27" s="31"/>
      <c r="S27" s="133"/>
      <c r="T27" s="31"/>
    </row>
    <row r="28" spans="1:28" x14ac:dyDescent="0.25">
      <c r="A28" s="43">
        <v>44686</v>
      </c>
      <c r="B28" s="14" t="s">
        <v>62</v>
      </c>
      <c r="C28" s="14" t="s">
        <v>907</v>
      </c>
      <c r="D28" s="16">
        <f>F28*E28*0.0015</f>
        <v>1230</v>
      </c>
      <c r="E28" s="14">
        <v>20.5</v>
      </c>
      <c r="F28" s="14">
        <v>40000</v>
      </c>
      <c r="G28" s="14"/>
      <c r="H28" s="71"/>
      <c r="I28" s="67">
        <f>-105/360*(I27+1)*Table1[[#This Row],[Notes]]</f>
        <v>-328.40033333333332</v>
      </c>
      <c r="J28" s="24">
        <f>Table1[[#This Row],[Volume]]*Table1[[#This Row],[Price]]</f>
        <v>820000</v>
      </c>
      <c r="K28" s="109">
        <f>Table1[[#This Row],[Result]]/1000-680+0.743</f>
        <v>140.74299999999999</v>
      </c>
      <c r="L28" t="s">
        <v>756</v>
      </c>
      <c r="M28" s="33" t="s">
        <v>1243</v>
      </c>
      <c r="N28" s="31" t="s">
        <v>1246</v>
      </c>
      <c r="O28" s="31"/>
      <c r="P28" s="31"/>
      <c r="S28" s="133"/>
      <c r="T28" s="31"/>
    </row>
    <row r="29" spans="1:28" x14ac:dyDescent="0.25">
      <c r="A29" s="43">
        <v>44685</v>
      </c>
      <c r="B29" s="14" t="s">
        <v>825</v>
      </c>
      <c r="C29" s="14" t="s">
        <v>657</v>
      </c>
      <c r="D29" s="16">
        <v>634</v>
      </c>
      <c r="E29" s="14">
        <v>1399</v>
      </c>
      <c r="F29" s="14">
        <v>10</v>
      </c>
      <c r="G29" s="14"/>
      <c r="H29" s="97"/>
      <c r="I29" s="67"/>
      <c r="J29" s="142">
        <f>12610-Table1[[#This Row],[Commission]]</f>
        <v>11976</v>
      </c>
      <c r="K29" s="109" t="s">
        <v>986</v>
      </c>
      <c r="L29" t="s">
        <v>756</v>
      </c>
      <c r="M29" s="33" t="s">
        <v>1226</v>
      </c>
      <c r="N29" s="31" t="s">
        <v>1228</v>
      </c>
      <c r="O29" s="31"/>
      <c r="P29" s="31"/>
      <c r="S29" s="133"/>
      <c r="T29" s="31"/>
    </row>
    <row r="30" spans="1:28" x14ac:dyDescent="0.25">
      <c r="A30" s="43">
        <v>44680</v>
      </c>
      <c r="B30" s="14" t="s">
        <v>969</v>
      </c>
      <c r="C30" s="14" t="s">
        <v>657</v>
      </c>
      <c r="D30" s="16">
        <f>415+318</f>
        <v>733</v>
      </c>
      <c r="E30" s="14">
        <v>1396</v>
      </c>
      <c r="F30" s="14">
        <v>10</v>
      </c>
      <c r="G30" s="14"/>
      <c r="H30" s="97"/>
      <c r="I30" s="67"/>
      <c r="J30" s="131">
        <f>3600-Table1[[#This Row],[Commission]]-3000</f>
        <v>-133</v>
      </c>
      <c r="K30" s="109" t="s">
        <v>982</v>
      </c>
      <c r="L30" t="s">
        <v>756</v>
      </c>
      <c r="M30" s="33" t="s">
        <v>1212</v>
      </c>
      <c r="N30" s="134" t="s">
        <v>1214</v>
      </c>
      <c r="O30" s="31"/>
      <c r="P30" s="31"/>
      <c r="S30" s="133"/>
      <c r="T30" s="31"/>
    </row>
    <row r="31" spans="1:28" x14ac:dyDescent="0.25">
      <c r="A31" s="43">
        <v>44679</v>
      </c>
      <c r="B31" s="14" t="s">
        <v>825</v>
      </c>
      <c r="C31" s="14" t="s">
        <v>657</v>
      </c>
      <c r="D31" s="16">
        <v>1362</v>
      </c>
      <c r="E31" s="14">
        <v>1401</v>
      </c>
      <c r="F31" s="14">
        <v>10</v>
      </c>
      <c r="G31" s="14"/>
      <c r="H31" s="97"/>
      <c r="I31" s="67"/>
      <c r="J31" s="105">
        <v>9800</v>
      </c>
      <c r="K31" s="109" t="s">
        <v>963</v>
      </c>
      <c r="L31" t="s">
        <v>756</v>
      </c>
      <c r="M31" s="33" t="s">
        <v>1209</v>
      </c>
      <c r="N31" s="31" t="s">
        <v>1211</v>
      </c>
      <c r="O31" s="31"/>
      <c r="P31" s="31"/>
      <c r="S31" s="133"/>
      <c r="T31" s="31"/>
    </row>
    <row r="32" spans="1:28" x14ac:dyDescent="0.25">
      <c r="A32" s="43">
        <v>44678</v>
      </c>
      <c r="B32" s="14" t="s">
        <v>969</v>
      </c>
      <c r="C32" s="14" t="s">
        <v>657</v>
      </c>
      <c r="D32" s="16">
        <v>755</v>
      </c>
      <c r="E32" s="14">
        <v>1364</v>
      </c>
      <c r="F32" s="14">
        <v>1</v>
      </c>
      <c r="G32" s="14"/>
      <c r="H32" s="97"/>
      <c r="I32" s="67"/>
      <c r="J32" s="105">
        <v>3750</v>
      </c>
      <c r="K32" s="109" t="s">
        <v>973</v>
      </c>
      <c r="L32" t="s">
        <v>756</v>
      </c>
      <c r="M32" s="33" t="s">
        <v>1126</v>
      </c>
      <c r="N32" s="31" t="s">
        <v>1207</v>
      </c>
      <c r="O32" s="31"/>
      <c r="P32" s="31"/>
      <c r="S32" s="133"/>
      <c r="T32" s="31"/>
    </row>
    <row r="33" spans="1:20" x14ac:dyDescent="0.25">
      <c r="A33" s="43">
        <v>44677</v>
      </c>
      <c r="B33" s="14" t="s">
        <v>825</v>
      </c>
      <c r="C33" s="14" t="s">
        <v>657</v>
      </c>
      <c r="D33" s="16">
        <v>31</v>
      </c>
      <c r="E33" s="14">
        <v>1362.7</v>
      </c>
      <c r="F33" s="14">
        <v>1</v>
      </c>
      <c r="G33" s="14"/>
      <c r="H33" s="97"/>
      <c r="I33" s="67"/>
      <c r="J33" s="105">
        <v>370</v>
      </c>
      <c r="K33" s="109" t="s">
        <v>965</v>
      </c>
      <c r="L33" t="s">
        <v>756</v>
      </c>
      <c r="M33" s="33" t="s">
        <v>1203</v>
      </c>
      <c r="N33" s="31" t="s">
        <v>1204</v>
      </c>
      <c r="O33" s="31"/>
      <c r="P33" s="31"/>
      <c r="S33" s="133"/>
      <c r="T33" s="31"/>
    </row>
    <row r="34" spans="1:20" x14ac:dyDescent="0.25">
      <c r="A34" s="43">
        <v>44677</v>
      </c>
      <c r="B34" s="14" t="s">
        <v>825</v>
      </c>
      <c r="C34" s="14" t="s">
        <v>657</v>
      </c>
      <c r="D34" s="16">
        <f>D33</f>
        <v>31</v>
      </c>
      <c r="E34" s="14">
        <v>1353.3</v>
      </c>
      <c r="F34" s="14">
        <v>1</v>
      </c>
      <c r="G34" s="14"/>
      <c r="H34" s="97"/>
      <c r="I34" s="67"/>
      <c r="J34" s="105">
        <v>230</v>
      </c>
      <c r="K34" s="109" t="s">
        <v>963</v>
      </c>
      <c r="L34" t="s">
        <v>756</v>
      </c>
      <c r="M34" s="33" t="s">
        <v>1197</v>
      </c>
      <c r="N34" s="31" t="s">
        <v>1200</v>
      </c>
      <c r="O34" s="31"/>
      <c r="P34" s="31"/>
      <c r="S34" s="133"/>
      <c r="T34" s="31"/>
    </row>
    <row r="35" spans="1:20" x14ac:dyDescent="0.25">
      <c r="A35" s="43">
        <v>44677</v>
      </c>
      <c r="B35" s="14" t="s">
        <v>825</v>
      </c>
      <c r="C35" s="14" t="s">
        <v>657</v>
      </c>
      <c r="D35" s="16">
        <f>100+27+35</f>
        <v>162</v>
      </c>
      <c r="E35" s="14">
        <v>1351.4</v>
      </c>
      <c r="F35" s="14">
        <v>2</v>
      </c>
      <c r="G35" s="14"/>
      <c r="H35" s="97"/>
      <c r="I35" s="67"/>
      <c r="J35" s="105">
        <v>2360</v>
      </c>
      <c r="K35" s="109" t="s">
        <v>963</v>
      </c>
      <c r="L35" t="s">
        <v>756</v>
      </c>
      <c r="M35" s="33" t="s">
        <v>1127</v>
      </c>
      <c r="N35" s="31" t="s">
        <v>1196</v>
      </c>
      <c r="O35" s="31"/>
      <c r="P35" s="31"/>
      <c r="S35" s="133"/>
      <c r="T35" s="31"/>
    </row>
    <row r="36" spans="1:20" x14ac:dyDescent="0.25">
      <c r="A36" s="43">
        <v>44676</v>
      </c>
      <c r="B36" s="14" t="s">
        <v>825</v>
      </c>
      <c r="C36" s="14" t="s">
        <v>657</v>
      </c>
      <c r="D36" s="16">
        <v>736.59</v>
      </c>
      <c r="E36" s="14">
        <v>1442.9</v>
      </c>
      <c r="F36" s="14">
        <v>20</v>
      </c>
      <c r="G36" s="14"/>
      <c r="H36" s="97"/>
      <c r="I36" s="67"/>
      <c r="J36" s="105">
        <f>100000-SUM(D31:D36)</f>
        <v>96922.41</v>
      </c>
      <c r="K36" s="45" t="s">
        <v>960</v>
      </c>
      <c r="L36" t="s">
        <v>756</v>
      </c>
      <c r="M36" s="33" t="s">
        <v>1183</v>
      </c>
      <c r="N36" s="31" t="s">
        <v>1186</v>
      </c>
      <c r="O36" s="31"/>
      <c r="P36" s="31"/>
      <c r="S36" s="133"/>
    </row>
    <row r="37" spans="1:20" x14ac:dyDescent="0.25">
      <c r="A37" s="43"/>
      <c r="B37" s="14"/>
      <c r="C37" s="14"/>
      <c r="D37" s="16"/>
      <c r="E37" s="14"/>
      <c r="F37" s="14"/>
      <c r="G37" s="14">
        <f>-125000*1</f>
        <v>-125000</v>
      </c>
      <c r="H37" s="97"/>
      <c r="I37" s="67"/>
      <c r="J37" s="98"/>
      <c r="K37" s="45" t="s">
        <v>1249</v>
      </c>
      <c r="L37" t="s">
        <v>756</v>
      </c>
      <c r="M37" s="33" t="s">
        <v>1179</v>
      </c>
      <c r="N37" s="31" t="s">
        <v>1181</v>
      </c>
      <c r="O37" s="31"/>
      <c r="P37" s="31"/>
      <c r="S37" s="133"/>
    </row>
    <row r="38" spans="1:20" x14ac:dyDescent="0.25">
      <c r="A38" s="43">
        <v>44672</v>
      </c>
      <c r="B38" s="14" t="s">
        <v>90</v>
      </c>
      <c r="C38" s="14" t="s">
        <v>907</v>
      </c>
      <c r="D38" s="16">
        <f>-F38*E38*0.0025</f>
        <v>1924.2375000000006</v>
      </c>
      <c r="E38" s="14">
        <f>(33.7*22.35+0.7*21+0.1*18)/34.5</f>
        <v>22.310000000000006</v>
      </c>
      <c r="F38" s="14">
        <v>-34500</v>
      </c>
      <c r="G38" s="14"/>
      <c r="H38" s="71">
        <f>Table1[[#This Row],[Result]]/(E39*F39)</f>
        <v>-4.3180592585365142E-2</v>
      </c>
      <c r="I38" s="77">
        <f>Table1[[#This Row],[Date]]-A39</f>
        <v>24</v>
      </c>
      <c r="J38" s="59">
        <f>-Table1[[#This Row],[Price]]*Table1[[#This Row],[Volume]]-E39*F39-Table1[[#This Row],[Commission]]-D39+I39</f>
        <v>-34521.523583332986</v>
      </c>
      <c r="K38" s="121" t="s">
        <v>946</v>
      </c>
      <c r="L38" t="s">
        <v>756</v>
      </c>
      <c r="M38" s="33" t="s">
        <v>1174</v>
      </c>
      <c r="N38" s="31" t="s">
        <v>1178</v>
      </c>
      <c r="O38" s="31"/>
      <c r="P38" s="31"/>
      <c r="S38" s="133"/>
    </row>
    <row r="39" spans="1:20" x14ac:dyDescent="0.25">
      <c r="A39" s="43">
        <v>44648</v>
      </c>
      <c r="B39" s="14" t="s">
        <v>62</v>
      </c>
      <c r="C39" s="14" t="s">
        <v>907</v>
      </c>
      <c r="D39" s="16">
        <f>F39*E39*0.0015</f>
        <v>1199.2027499999999</v>
      </c>
      <c r="E39" s="14">
        <v>23.172999999999998</v>
      </c>
      <c r="F39" s="14">
        <v>34500</v>
      </c>
      <c r="G39" s="14"/>
      <c r="H39" s="71"/>
      <c r="I39" s="67">
        <f>-105/360*(I38+1)*Table1[[#This Row],[Notes]]</f>
        <v>-1624.5833333333335</v>
      </c>
      <c r="J39" s="24">
        <f>Table1[[#This Row],[Volume]]*Table1[[#This Row],[Price]]</f>
        <v>799468.49999999988</v>
      </c>
      <c r="K39" s="109">
        <f>760-538+0.8</f>
        <v>222.8</v>
      </c>
      <c r="L39" t="s">
        <v>756</v>
      </c>
      <c r="M39" s="33" t="s">
        <v>1169</v>
      </c>
      <c r="N39" s="31" t="s">
        <v>1177</v>
      </c>
      <c r="O39" s="31"/>
      <c r="P39" s="31"/>
      <c r="S39" s="133"/>
    </row>
    <row r="40" spans="1:20" x14ac:dyDescent="0.25">
      <c r="A40" s="43">
        <v>44657</v>
      </c>
      <c r="B40" s="14" t="s">
        <v>90</v>
      </c>
      <c r="C40" s="14" t="s">
        <v>907</v>
      </c>
      <c r="D40" s="16">
        <f>-F40*E40*0.0025</f>
        <v>61.375</v>
      </c>
      <c r="E40" s="14">
        <v>24.55</v>
      </c>
      <c r="F40" s="14">
        <v>-1000</v>
      </c>
      <c r="G40" s="14"/>
      <c r="H40" s="71">
        <f>Table1[[#This Row],[Result]]/(E41*F41)</f>
        <v>-4.2916666666666667E-3</v>
      </c>
      <c r="I40" s="77">
        <f>Table1[[#This Row],[Date]]-A41</f>
        <v>0</v>
      </c>
      <c r="J40" s="59">
        <f>-Table1[[#This Row],[Price]]*Table1[[#This Row],[Volume]]-E41*F41-Table1[[#This Row],[Commission]]-D41+I41</f>
        <v>-105.36041666666667</v>
      </c>
      <c r="K40" s="121" t="s">
        <v>934</v>
      </c>
      <c r="L40" t="s">
        <v>756</v>
      </c>
      <c r="M40" s="33" t="s">
        <v>1163</v>
      </c>
      <c r="N40" s="31" t="s">
        <v>1168</v>
      </c>
      <c r="O40" s="31"/>
      <c r="P40" s="31"/>
      <c r="S40" s="133"/>
    </row>
    <row r="41" spans="1:20" x14ac:dyDescent="0.25">
      <c r="A41" s="43">
        <v>44657</v>
      </c>
      <c r="B41" s="14" t="s">
        <v>62</v>
      </c>
      <c r="C41" s="14" t="s">
        <v>907</v>
      </c>
      <c r="D41" s="16">
        <f>F41*E41*0.0015</f>
        <v>36.825000000000003</v>
      </c>
      <c r="E41" s="14">
        <v>24.55</v>
      </c>
      <c r="F41" s="14">
        <v>1000</v>
      </c>
      <c r="G41" s="14"/>
      <c r="H41" s="71"/>
      <c r="I41" s="67">
        <f>-105/360*(I40+1)*Table1[[#This Row],[Notes]]</f>
        <v>-7.1604166666666673</v>
      </c>
      <c r="J41" s="24">
        <f>Table1[[#This Row],[Volume]]*Table1[[#This Row],[Price]]</f>
        <v>24550</v>
      </c>
      <c r="K41" s="45">
        <v>24.55</v>
      </c>
      <c r="L41" t="s">
        <v>756</v>
      </c>
      <c r="M41" s="33" t="s">
        <v>1159</v>
      </c>
      <c r="N41" s="31" t="s">
        <v>1164</v>
      </c>
      <c r="O41" s="31"/>
      <c r="P41" s="31"/>
      <c r="S41" s="133"/>
    </row>
    <row r="42" spans="1:20" x14ac:dyDescent="0.25">
      <c r="A42" s="43">
        <v>44657</v>
      </c>
      <c r="B42" s="14" t="s">
        <v>90</v>
      </c>
      <c r="C42" s="14" t="s">
        <v>907</v>
      </c>
      <c r="D42" s="16">
        <f>-F42*E42*0.0025</f>
        <v>123.25</v>
      </c>
      <c r="E42" s="14">
        <v>24.65</v>
      </c>
      <c r="F42" s="14">
        <v>-2000</v>
      </c>
      <c r="G42" s="14"/>
      <c r="H42" s="71">
        <f>Table1[[#This Row],[Result]]/(E43*F43)</f>
        <v>9.0275779376498798E-3</v>
      </c>
      <c r="I42" s="77">
        <f>Table1[[#This Row],[Date]]-A43</f>
        <v>0</v>
      </c>
      <c r="J42" s="61">
        <f>-Table1[[#This Row],[Price]]*Table1[[#This Row],[Volume]]-E43*F43-Table1[[#This Row],[Commission]]-D43+I43</f>
        <v>439.19166666666666</v>
      </c>
      <c r="K42" s="121" t="s">
        <v>933</v>
      </c>
      <c r="L42" t="s">
        <v>756</v>
      </c>
      <c r="M42" s="33" t="s">
        <v>1156</v>
      </c>
      <c r="N42" s="31" t="s">
        <v>1165</v>
      </c>
      <c r="O42" s="31"/>
      <c r="P42" s="31"/>
      <c r="S42" s="133"/>
    </row>
    <row r="43" spans="1:20" x14ac:dyDescent="0.25">
      <c r="A43" s="43">
        <v>44657</v>
      </c>
      <c r="B43" s="14" t="s">
        <v>62</v>
      </c>
      <c r="C43" s="14" t="s">
        <v>907</v>
      </c>
      <c r="D43" s="16">
        <f>F43*E43*0.0015</f>
        <v>72.975000000000009</v>
      </c>
      <c r="E43" s="14">
        <f>(24.25+24.4)/2</f>
        <v>24.324999999999999</v>
      </c>
      <c r="F43" s="14">
        <v>2000</v>
      </c>
      <c r="G43" s="14"/>
      <c r="H43" s="71"/>
      <c r="I43" s="67">
        <f>-105/360*(I42+1)*Table1[[#This Row],[Notes]]</f>
        <v>-14.583333333333334</v>
      </c>
      <c r="J43" s="24">
        <f>Table1[[#This Row],[Volume]]*Table1[[#This Row],[Price]]</f>
        <v>48650</v>
      </c>
      <c r="K43" s="45">
        <v>50</v>
      </c>
      <c r="L43" t="s">
        <v>756</v>
      </c>
      <c r="M43" s="33" t="s">
        <v>1152</v>
      </c>
      <c r="N43" s="31" t="s">
        <v>1155</v>
      </c>
      <c r="O43" s="31"/>
      <c r="P43" s="31"/>
      <c r="S43" s="133"/>
    </row>
    <row r="44" spans="1:20" x14ac:dyDescent="0.25">
      <c r="A44" s="43">
        <v>44656</v>
      </c>
      <c r="B44" s="14" t="s">
        <v>90</v>
      </c>
      <c r="C44" s="14" t="s">
        <v>907</v>
      </c>
      <c r="D44" s="16">
        <f>-F44*E44*0.0025</f>
        <v>127</v>
      </c>
      <c r="E44" s="14">
        <f>(25.45+25.35)/2</f>
        <v>25.4</v>
      </c>
      <c r="F44" s="14">
        <v>-2000</v>
      </c>
      <c r="G44" s="14"/>
      <c r="H44" s="71">
        <f>Table1[[#This Row],[Result]]/(E45*F45)</f>
        <v>2.9190064428619721E-2</v>
      </c>
      <c r="I44" s="77">
        <f>Table1[[#This Row],[Date]]-A45</f>
        <v>1</v>
      </c>
      <c r="J44" s="61">
        <f>-Table1[[#This Row],[Price]]*Table1[[#This Row],[Volume]]-E45*F45-Table1[[#This Row],[Commission]]-D45+I45</f>
        <v>1434.6916666666596</v>
      </c>
      <c r="K44" s="121" t="s">
        <v>931</v>
      </c>
      <c r="L44" t="s">
        <v>756</v>
      </c>
      <c r="M44" s="33" t="s">
        <v>1144</v>
      </c>
      <c r="N44" s="31" t="s">
        <v>1150</v>
      </c>
      <c r="O44" s="31"/>
      <c r="P44" s="31"/>
      <c r="S44" s="133"/>
    </row>
    <row r="45" spans="1:20" x14ac:dyDescent="0.25">
      <c r="A45" s="43">
        <v>44655</v>
      </c>
      <c r="B45" s="14" t="s">
        <v>62</v>
      </c>
      <c r="C45" s="14" t="s">
        <v>907</v>
      </c>
      <c r="D45" s="16">
        <f>F45*E45*0.0015</f>
        <v>73.725000000000009</v>
      </c>
      <c r="E45" s="14">
        <f>(25.35+23.8)/2</f>
        <v>24.575000000000003</v>
      </c>
      <c r="F45" s="14">
        <v>2000</v>
      </c>
      <c r="G45" s="14"/>
      <c r="H45" s="71"/>
      <c r="I45" s="67">
        <f>-105/360*(I44+1)*Table1[[#This Row],[Notes]]</f>
        <v>-14.583333333333334</v>
      </c>
      <c r="J45" s="24">
        <f>Table1[[#This Row],[Volume]]*Table1[[#This Row],[Price]]</f>
        <v>49150.000000000007</v>
      </c>
      <c r="K45" s="45">
        <v>25</v>
      </c>
      <c r="L45" t="s">
        <v>756</v>
      </c>
      <c r="M45" s="33" t="s">
        <v>1140</v>
      </c>
      <c r="N45" s="31" t="s">
        <v>1151</v>
      </c>
      <c r="O45" s="31"/>
      <c r="P45" s="31"/>
      <c r="S45" s="133"/>
    </row>
    <row r="46" spans="1:20" x14ac:dyDescent="0.25">
      <c r="A46" s="43">
        <v>44657</v>
      </c>
      <c r="B46" s="14" t="s">
        <v>90</v>
      </c>
      <c r="C46" s="14" t="s">
        <v>912</v>
      </c>
      <c r="D46" s="16">
        <f>-F46*E46*0.0025</f>
        <v>14</v>
      </c>
      <c r="E46" s="14">
        <v>56</v>
      </c>
      <c r="F46" s="14">
        <v>-100</v>
      </c>
      <c r="G46" s="14"/>
      <c r="H46" s="71">
        <f>Table1[[#This Row],[Result]]/(E47*F47)</f>
        <v>-1.9799295774647886E-2</v>
      </c>
      <c r="I46" s="77">
        <f>Table1[[#This Row],[Date]]-A47</f>
        <v>5</v>
      </c>
      <c r="J46" s="59">
        <f>-Table1[[#This Row],[Price]]*Table1[[#This Row],[Volume]]-E47*F47-Table1[[#This Row],[Commission]]-D47+I47</f>
        <v>-112.46</v>
      </c>
      <c r="K46" s="121" t="s">
        <v>926</v>
      </c>
      <c r="L46" t="s">
        <v>756</v>
      </c>
      <c r="M46" s="33" t="s">
        <v>1138</v>
      </c>
      <c r="N46" s="31" t="s">
        <v>1139</v>
      </c>
      <c r="O46" s="31"/>
      <c r="P46" s="31"/>
      <c r="S46" s="133"/>
    </row>
    <row r="47" spans="1:20" x14ac:dyDescent="0.25">
      <c r="A47" s="43">
        <v>44652</v>
      </c>
      <c r="B47" s="14" t="s">
        <v>62</v>
      </c>
      <c r="C47" s="14" t="s">
        <v>912</v>
      </c>
      <c r="D47" s="16">
        <f>F47*E47*0.0015</f>
        <v>8.52</v>
      </c>
      <c r="E47" s="14">
        <v>56.8</v>
      </c>
      <c r="F47" s="14">
        <v>100</v>
      </c>
      <c r="G47" s="14"/>
      <c r="H47" s="71"/>
      <c r="I47" s="67">
        <f>-105/360*(I46+1)*Table1[[#This Row],[Notes]]</f>
        <v>-9.94</v>
      </c>
      <c r="J47" s="24">
        <f>Table1[[#This Row],[Volume]]*Table1[[#This Row],[Price]]</f>
        <v>5680</v>
      </c>
      <c r="K47" s="45">
        <v>5.68</v>
      </c>
      <c r="L47" t="s">
        <v>756</v>
      </c>
      <c r="M47" s="33" t="s">
        <v>1132</v>
      </c>
      <c r="N47" s="31" t="s">
        <v>1134</v>
      </c>
      <c r="O47" s="31"/>
      <c r="P47" s="31"/>
      <c r="S47" s="133"/>
    </row>
    <row r="48" spans="1:20" x14ac:dyDescent="0.25">
      <c r="A48" s="43">
        <v>44656</v>
      </c>
      <c r="B48" s="14" t="s">
        <v>90</v>
      </c>
      <c r="C48" s="14" t="s">
        <v>916</v>
      </c>
      <c r="D48" s="16">
        <f>-F48*E48*0.0025</f>
        <v>3.8250000000000002</v>
      </c>
      <c r="E48" s="14">
        <v>15.3</v>
      </c>
      <c r="F48" s="14">
        <v>-100</v>
      </c>
      <c r="G48" s="14"/>
      <c r="H48" s="71">
        <f>Table1[[#This Row],[Result]]/(E49*F49)</f>
        <v>-5.3565217391304487E-2</v>
      </c>
      <c r="I48" s="77">
        <f>Table1[[#This Row],[Date]]-A49</f>
        <v>6</v>
      </c>
      <c r="J48" s="59">
        <f>-Table1[[#This Row],[Price]]*Table1[[#This Row],[Volume]]-E49*F49-Table1[[#This Row],[Commission]]-D49+I49</f>
        <v>-86.240000000000236</v>
      </c>
      <c r="K48" s="121" t="s">
        <v>929</v>
      </c>
      <c r="L48" t="s">
        <v>756</v>
      </c>
      <c r="M48" s="33" t="s">
        <v>1130</v>
      </c>
      <c r="N48" s="31" t="s">
        <v>1131</v>
      </c>
      <c r="O48" s="31"/>
      <c r="P48" s="31"/>
      <c r="S48" s="133"/>
    </row>
    <row r="49" spans="1:19" x14ac:dyDescent="0.25">
      <c r="A49" s="43">
        <v>44650</v>
      </c>
      <c r="B49" s="14" t="s">
        <v>62</v>
      </c>
      <c r="C49" s="14" t="s">
        <v>916</v>
      </c>
      <c r="D49" s="16">
        <f>F49*E49*0.0015</f>
        <v>2.4150000000000005</v>
      </c>
      <c r="E49" s="14">
        <v>16.100000000000001</v>
      </c>
      <c r="F49" s="14">
        <v>100</v>
      </c>
      <c r="G49" s="14"/>
      <c r="H49" s="71"/>
      <c r="I49" s="67">
        <f>-105/360*(I48+1)*Table1[[#This Row],[Notes]]</f>
        <v>0</v>
      </c>
      <c r="J49" s="24">
        <f>Table1[[#This Row],[Volume]]*Table1[[#This Row],[Price]]</f>
        <v>1610.0000000000002</v>
      </c>
      <c r="K49" s="45"/>
      <c r="L49" t="s">
        <v>756</v>
      </c>
      <c r="M49" s="33" t="s">
        <v>1123</v>
      </c>
      <c r="N49" s="31" t="s">
        <v>1124</v>
      </c>
      <c r="O49" s="31"/>
      <c r="P49" s="31"/>
      <c r="S49" s="133"/>
    </row>
    <row r="50" spans="1:19" x14ac:dyDescent="0.25">
      <c r="A50" s="43">
        <v>44655</v>
      </c>
      <c r="B50" s="14" t="s">
        <v>90</v>
      </c>
      <c r="C50" s="14" t="s">
        <v>924</v>
      </c>
      <c r="D50" s="16">
        <f>-F50*E50*0.0025</f>
        <v>9.9</v>
      </c>
      <c r="E50" s="14">
        <v>39.6</v>
      </c>
      <c r="F50" s="14">
        <v>-100</v>
      </c>
      <c r="G50" s="14"/>
      <c r="H50" s="71">
        <f>Table1[[#This Row],[Result]]/(E51*F51)</f>
        <v>1.6567010309278471E-2</v>
      </c>
      <c r="I50" s="77">
        <f>Table1[[#This Row],[Date]]-A51</f>
        <v>5</v>
      </c>
      <c r="J50" s="61">
        <f>-Table1[[#This Row],[Price]]*Table1[[#This Row],[Volume]]-E51*F51-Table1[[#This Row],[Commission]]-D51+I51</f>
        <v>64.280000000000456</v>
      </c>
      <c r="K50" s="121" t="s">
        <v>927</v>
      </c>
      <c r="L50" t="s">
        <v>756</v>
      </c>
      <c r="M50" s="33" t="s">
        <v>1117</v>
      </c>
      <c r="N50" s="31" t="s">
        <v>1122</v>
      </c>
      <c r="O50" s="31"/>
      <c r="P50" s="31"/>
      <c r="S50" s="133"/>
    </row>
    <row r="51" spans="1:19" x14ac:dyDescent="0.25">
      <c r="A51" s="43">
        <v>44650</v>
      </c>
      <c r="B51" s="14" t="s">
        <v>62</v>
      </c>
      <c r="C51" s="14" t="s">
        <v>924</v>
      </c>
      <c r="D51" s="16">
        <f>F51*E51*0.0015</f>
        <v>5.8199999999999994</v>
      </c>
      <c r="E51" s="14">
        <v>38.799999999999997</v>
      </c>
      <c r="F51" s="14">
        <v>100</v>
      </c>
      <c r="G51" s="14"/>
      <c r="H51" s="71"/>
      <c r="I51" s="67">
        <f>-105/360*(I50+1)*Table1[[#This Row],[Notes]]</f>
        <v>0</v>
      </c>
      <c r="J51" s="24">
        <f>Table1[[#This Row],[Volume]]*Table1[[#This Row],[Price]]</f>
        <v>3879.9999999999995</v>
      </c>
      <c r="K51" s="45"/>
      <c r="L51" t="s">
        <v>756</v>
      </c>
      <c r="M51" s="33" t="s">
        <v>1061</v>
      </c>
      <c r="N51" s="31" t="s">
        <v>1063</v>
      </c>
      <c r="O51" s="31"/>
      <c r="P51" s="31"/>
      <c r="S51" s="133"/>
    </row>
    <row r="52" spans="1:19" x14ac:dyDescent="0.25">
      <c r="A52" s="43">
        <v>44655</v>
      </c>
      <c r="B52" s="14" t="s">
        <v>90</v>
      </c>
      <c r="C52" s="14" t="s">
        <v>923</v>
      </c>
      <c r="D52" s="16">
        <f>-F52*E52*0.0025</f>
        <v>16.600000000000001</v>
      </c>
      <c r="E52" s="14">
        <v>33.200000000000003</v>
      </c>
      <c r="F52" s="14">
        <v>-200</v>
      </c>
      <c r="G52" s="14"/>
      <c r="H52" s="71">
        <f>Table1[[#This Row],[Result]]/(E53*F53)</f>
        <v>-8.2481894150417706E-2</v>
      </c>
      <c r="I52" s="77">
        <f>Table1[[#This Row],[Date]]-A53</f>
        <v>11</v>
      </c>
      <c r="J52" s="59">
        <f>-Table1[[#This Row],[Price]]*Table1[[#This Row],[Volume]]-E53*F53-Table1[[#This Row],[Commission]]-D53+I53</f>
        <v>-592.21999999999912</v>
      </c>
      <c r="K52" s="121" t="s">
        <v>928</v>
      </c>
      <c r="L52" t="s">
        <v>756</v>
      </c>
      <c r="M52" s="33" t="s">
        <v>1059</v>
      </c>
      <c r="N52" s="31" t="s">
        <v>1060</v>
      </c>
      <c r="O52" s="31"/>
      <c r="P52" s="31"/>
      <c r="S52" s="133"/>
    </row>
    <row r="53" spans="1:19" x14ac:dyDescent="0.25">
      <c r="A53" s="43">
        <v>44644</v>
      </c>
      <c r="B53" s="14" t="s">
        <v>62</v>
      </c>
      <c r="C53" s="14" t="s">
        <v>923</v>
      </c>
      <c r="D53" s="16">
        <f>F53*E53*0.0015</f>
        <v>10.77</v>
      </c>
      <c r="E53" s="14">
        <v>35.9</v>
      </c>
      <c r="F53" s="14">
        <v>200</v>
      </c>
      <c r="G53" s="14"/>
      <c r="H53" s="71"/>
      <c r="I53" s="67">
        <f>-105/360*(I52+1)*Table1[[#This Row],[Notes]]</f>
        <v>-24.849999999999998</v>
      </c>
      <c r="J53" s="24">
        <f>Table1[[#This Row],[Volume]]*Table1[[#This Row],[Price]]</f>
        <v>7180</v>
      </c>
      <c r="K53" s="45">
        <v>7.1</v>
      </c>
      <c r="L53" t="s">
        <v>756</v>
      </c>
      <c r="M53" s="33" t="s">
        <v>1057</v>
      </c>
      <c r="N53" s="31" t="s">
        <v>1058</v>
      </c>
      <c r="O53" s="31"/>
      <c r="P53" s="31"/>
      <c r="S53" s="139"/>
    </row>
    <row r="54" spans="1:19" x14ac:dyDescent="0.25">
      <c r="A54" s="43">
        <v>44657</v>
      </c>
      <c r="B54" s="14" t="s">
        <v>90</v>
      </c>
      <c r="C54" s="14" t="s">
        <v>907</v>
      </c>
      <c r="D54" s="16">
        <f>-F54*E54*0.0025</f>
        <v>1533.55</v>
      </c>
      <c r="E54" s="14">
        <f>(24.4*24.55+0.6*24)/25</f>
        <v>24.536799999999999</v>
      </c>
      <c r="F54" s="14">
        <v>-25000</v>
      </c>
      <c r="G54" s="14"/>
      <c r="H54" s="71">
        <f>Table1[[#This Row],[Result]]/(E55*F55)</f>
        <v>7.5426229508196723E-4</v>
      </c>
      <c r="I54" s="77">
        <f>Table1[[#This Row],[Date]]-A55</f>
        <v>9</v>
      </c>
      <c r="J54" s="61">
        <f>-Table1[[#This Row],[Price]]*Table1[[#This Row],[Volume]]-E55*F55-Table1[[#This Row],[Commission]]-D55+I55</f>
        <v>460.1</v>
      </c>
      <c r="K54" s="121" t="s">
        <v>936</v>
      </c>
      <c r="L54" t="s">
        <v>756</v>
      </c>
      <c r="M54" s="33" t="s">
        <v>1055</v>
      </c>
      <c r="N54" s="31" t="s">
        <v>1056</v>
      </c>
      <c r="O54" s="31"/>
      <c r="P54" s="31"/>
      <c r="S54" s="138"/>
    </row>
    <row r="55" spans="1:19" x14ac:dyDescent="0.25">
      <c r="A55" s="43">
        <v>44648</v>
      </c>
      <c r="B55" s="14" t="s">
        <v>62</v>
      </c>
      <c r="C55" s="14" t="s">
        <v>907</v>
      </c>
      <c r="D55" s="16">
        <f>F55*E55*0.0015</f>
        <v>915</v>
      </c>
      <c r="E55" s="14">
        <f>(24.2*10+20*24.5)/30</f>
        <v>24.4</v>
      </c>
      <c r="F55" s="14">
        <v>25000</v>
      </c>
      <c r="G55" s="14"/>
      <c r="H55" s="71"/>
      <c r="I55" s="67">
        <f>-105/360*(I54+1)*Table1[[#This Row],[Notes]]</f>
        <v>-511.35</v>
      </c>
      <c r="J55" s="24">
        <f>Table1[[#This Row],[Volume]]*Table1[[#This Row],[Price]]</f>
        <v>610000</v>
      </c>
      <c r="K55" s="45">
        <v>175.32</v>
      </c>
      <c r="L55" t="s">
        <v>756</v>
      </c>
      <c r="M55" s="33" t="s">
        <v>1052</v>
      </c>
      <c r="N55" s="31" t="s">
        <v>1054</v>
      </c>
      <c r="O55" s="31"/>
      <c r="P55" s="31"/>
      <c r="S55" s="138"/>
    </row>
    <row r="56" spans="1:19" x14ac:dyDescent="0.25">
      <c r="A56" s="43">
        <v>44653</v>
      </c>
      <c r="B56" s="14" t="s">
        <v>90</v>
      </c>
      <c r="C56" s="14" t="s">
        <v>921</v>
      </c>
      <c r="D56" s="16">
        <f>-F56*E56*0.0025</f>
        <v>36.25</v>
      </c>
      <c r="E56" s="14">
        <v>29</v>
      </c>
      <c r="F56" s="14">
        <v>-500</v>
      </c>
      <c r="G56" s="14"/>
      <c r="H56" s="71">
        <f>Table1[[#This Row],[Result]]/(E57*F57)</f>
        <v>6.5935424354243544E-2</v>
      </c>
      <c r="I56" s="77">
        <f>Table1[[#This Row],[Date]]-A57</f>
        <v>5</v>
      </c>
      <c r="J56" s="61">
        <f>-Table1[[#This Row],[Price]]*Table1[[#This Row],[Volume]]-E57*F57-Table1[[#This Row],[Commission]]-D57+I57</f>
        <v>893.42499999999995</v>
      </c>
      <c r="K56" s="45" t="s">
        <v>920</v>
      </c>
      <c r="L56" t="s">
        <v>756</v>
      </c>
      <c r="M56" s="5" t="s">
        <v>1049</v>
      </c>
      <c r="N56" t="s">
        <v>1053</v>
      </c>
      <c r="Q56" s="134"/>
      <c r="S56" s="133"/>
    </row>
    <row r="57" spans="1:19" x14ac:dyDescent="0.25">
      <c r="A57" s="43">
        <v>44648</v>
      </c>
      <c r="B57" s="14" t="s">
        <v>62</v>
      </c>
      <c r="C57" s="14" t="s">
        <v>921</v>
      </c>
      <c r="D57" s="16">
        <f>F57*E57*0.0015</f>
        <v>20.324999999999999</v>
      </c>
      <c r="E57" s="14">
        <v>27.1</v>
      </c>
      <c r="F57" s="14">
        <v>500</v>
      </c>
      <c r="G57" s="14"/>
      <c r="H57" s="71"/>
      <c r="I57" s="67">
        <f>-105/360*(I56+1)*Table1[[#This Row],[Notes]]</f>
        <v>0</v>
      </c>
      <c r="J57" s="24">
        <f>Table1[[#This Row],[Volume]]*Table1[[#This Row],[Price]]</f>
        <v>13550</v>
      </c>
      <c r="K57" s="45"/>
      <c r="L57" t="s">
        <v>756</v>
      </c>
      <c r="M57" s="5" t="s">
        <v>1046</v>
      </c>
      <c r="N57" t="s">
        <v>1048</v>
      </c>
      <c r="S57" s="133"/>
    </row>
    <row r="58" spans="1:19" x14ac:dyDescent="0.25">
      <c r="A58" s="43">
        <v>44645</v>
      </c>
      <c r="B58" s="14" t="s">
        <v>918</v>
      </c>
      <c r="C58" s="14"/>
      <c r="D58" s="16"/>
      <c r="E58" s="14"/>
      <c r="F58" s="14"/>
      <c r="G58" s="14">
        <v>8000</v>
      </c>
      <c r="H58" s="97"/>
      <c r="I58" s="67"/>
      <c r="J58" s="98"/>
      <c r="K58" s="45" t="s">
        <v>919</v>
      </c>
      <c r="L58" t="s">
        <v>756</v>
      </c>
      <c r="M58" s="5" t="s">
        <v>1044</v>
      </c>
      <c r="N58" t="s">
        <v>1045</v>
      </c>
      <c r="S58" s="133"/>
    </row>
    <row r="59" spans="1:19" x14ac:dyDescent="0.25">
      <c r="A59" s="43">
        <v>44649</v>
      </c>
      <c r="B59" s="14" t="s">
        <v>90</v>
      </c>
      <c r="C59" s="14" t="s">
        <v>915</v>
      </c>
      <c r="D59" s="16">
        <f>-F59*E59*0.0025</f>
        <v>2.7625000000000002</v>
      </c>
      <c r="E59" s="14">
        <v>11.05</v>
      </c>
      <c r="F59" s="14">
        <v>-100</v>
      </c>
      <c r="G59" s="14"/>
      <c r="H59" s="71">
        <f>Table1[[#This Row],[Result]]/(E60*F60)</f>
        <v>6.6883495145631064E-2</v>
      </c>
      <c r="I59" s="77">
        <f>Table1[[#This Row],[Date]]-A60</f>
        <v>5</v>
      </c>
      <c r="J59" s="61">
        <f>-Table1[[#This Row],[Price]]*Table1[[#This Row],[Volume]]-E60*F60-Table1[[#This Row],[Commission]]-D60+I60</f>
        <v>68.89</v>
      </c>
      <c r="K59" s="121" t="s">
        <v>925</v>
      </c>
      <c r="L59" t="s">
        <v>756</v>
      </c>
      <c r="M59" s="29" t="s">
        <v>1042</v>
      </c>
      <c r="N59" s="31" t="s">
        <v>1043</v>
      </c>
      <c r="O59" s="31"/>
      <c r="P59" s="135"/>
      <c r="S59" s="133"/>
    </row>
    <row r="60" spans="1:19" x14ac:dyDescent="0.25">
      <c r="A60" s="43">
        <v>44644</v>
      </c>
      <c r="B60" s="14" t="s">
        <v>62</v>
      </c>
      <c r="C60" s="14" t="s">
        <v>915</v>
      </c>
      <c r="D60" s="16">
        <f>F60*E60*0.0015</f>
        <v>1.5449999999999999</v>
      </c>
      <c r="E60" s="14">
        <v>10.3</v>
      </c>
      <c r="F60" s="14">
        <v>100</v>
      </c>
      <c r="G60" s="14"/>
      <c r="H60" s="71"/>
      <c r="I60" s="67">
        <f>-105/360*(I59+1)*Table1[[#This Row],[Notes]]</f>
        <v>-1.8025</v>
      </c>
      <c r="J60" s="24">
        <f>Table1[[#This Row],[Volume]]*Table1[[#This Row],[Price]]</f>
        <v>1030</v>
      </c>
      <c r="K60" s="45">
        <v>1.03</v>
      </c>
      <c r="L60" t="s">
        <v>756</v>
      </c>
      <c r="M60" s="29" t="s">
        <v>1038</v>
      </c>
      <c r="N60" s="31" t="s">
        <v>1040</v>
      </c>
      <c r="O60" s="31"/>
      <c r="P60" s="135"/>
      <c r="S60" s="133"/>
    </row>
    <row r="61" spans="1:19" x14ac:dyDescent="0.25">
      <c r="A61" s="43">
        <v>44649</v>
      </c>
      <c r="B61" s="14" t="s">
        <v>90</v>
      </c>
      <c r="C61" s="14" t="s">
        <v>916</v>
      </c>
      <c r="D61" s="16">
        <f>-F61*E61*0.0025</f>
        <v>21.625</v>
      </c>
      <c r="E61" s="14">
        <v>17.3</v>
      </c>
      <c r="F61" s="14">
        <v>-500</v>
      </c>
      <c r="G61" s="14"/>
      <c r="H61" s="71">
        <f>Table1[[#This Row],[Result]]/(E62*F62)</f>
        <v>5.9166666666666656E-3</v>
      </c>
      <c r="I61" s="77">
        <f>Table1[[#This Row],[Date]]-A62</f>
        <v>5</v>
      </c>
      <c r="J61" s="61">
        <f>-Table1[[#This Row],[Price]]*Table1[[#This Row],[Volume]]-E62*F62-Table1[[#This Row],[Commission]]-D62+I62</f>
        <v>50.587499999999991</v>
      </c>
      <c r="K61" s="121" t="s">
        <v>922</v>
      </c>
      <c r="L61" t="s">
        <v>756</v>
      </c>
      <c r="M61" s="29" t="s">
        <v>1035</v>
      </c>
      <c r="N61" s="31" t="s">
        <v>1036</v>
      </c>
      <c r="O61" s="31"/>
      <c r="P61" s="135"/>
      <c r="S61" s="133"/>
    </row>
    <row r="62" spans="1:19" x14ac:dyDescent="0.25">
      <c r="A62" s="43">
        <v>44644</v>
      </c>
      <c r="B62" s="14" t="s">
        <v>62</v>
      </c>
      <c r="C62" s="14" t="s">
        <v>916</v>
      </c>
      <c r="D62" s="16">
        <f>F62*E62*0.0015</f>
        <v>12.825000000000001</v>
      </c>
      <c r="E62" s="14">
        <v>17.100000000000001</v>
      </c>
      <c r="F62" s="14">
        <v>500</v>
      </c>
      <c r="G62" s="14"/>
      <c r="H62" s="71"/>
      <c r="I62" s="67">
        <f>-105/360*(I61+1)*Table1[[#This Row],[Notes]]</f>
        <v>-14.962500000000002</v>
      </c>
      <c r="J62" s="24">
        <f>Table1[[#This Row],[Volume]]*Table1[[#This Row],[Price]]</f>
        <v>8550</v>
      </c>
      <c r="K62" s="45">
        <v>8.5500000000000007</v>
      </c>
      <c r="L62" t="s">
        <v>756</v>
      </c>
      <c r="M62" s="29" t="s">
        <v>1032</v>
      </c>
      <c r="N62" s="31" t="s">
        <v>1034</v>
      </c>
      <c r="O62" s="31"/>
      <c r="P62" s="135"/>
      <c r="S62" s="133"/>
    </row>
    <row r="63" spans="1:19" x14ac:dyDescent="0.25">
      <c r="A63" s="43">
        <v>44648</v>
      </c>
      <c r="B63" s="14" t="s">
        <v>90</v>
      </c>
      <c r="C63" s="14" t="s">
        <v>914</v>
      </c>
      <c r="D63" s="16">
        <f>-F63*E63*0.0025</f>
        <v>8.2375000000000007</v>
      </c>
      <c r="E63" s="14">
        <v>32.950000000000003</v>
      </c>
      <c r="F63" s="14">
        <v>-100</v>
      </c>
      <c r="G63" s="14"/>
      <c r="H63" s="71">
        <f>Table1[[#This Row],[Result]]/(E64*F64)</f>
        <v>-4.7432510885341068E-2</v>
      </c>
      <c r="I63" s="77">
        <f>Table1[[#This Row],[Date]]-A64</f>
        <v>5</v>
      </c>
      <c r="J63" s="59">
        <f>-Table1[[#This Row],[Price]]*Table1[[#This Row],[Volume]]-E64*F64-Table1[[#This Row],[Commission]]-D64+I64</f>
        <v>-163.405</v>
      </c>
      <c r="K63" s="121" t="s">
        <v>917</v>
      </c>
      <c r="L63" t="s">
        <v>756</v>
      </c>
      <c r="M63" s="33" t="s">
        <v>1029</v>
      </c>
      <c r="N63" s="31" t="s">
        <v>1031</v>
      </c>
      <c r="P63" s="141"/>
      <c r="S63" s="133"/>
    </row>
    <row r="64" spans="1:19" x14ac:dyDescent="0.25">
      <c r="A64" s="43">
        <v>44643</v>
      </c>
      <c r="B64" s="14" t="s">
        <v>62</v>
      </c>
      <c r="C64" s="14" t="s">
        <v>914</v>
      </c>
      <c r="D64" s="16">
        <f>F64*E64*0.0015</f>
        <v>5.1675000000000004</v>
      </c>
      <c r="E64" s="14">
        <v>34.450000000000003</v>
      </c>
      <c r="F64" s="14">
        <v>100</v>
      </c>
      <c r="G64" s="14"/>
      <c r="H64" s="71"/>
      <c r="I64" s="67">
        <f>-105/360*(I63+1)*Table1[[#This Row],[Notes]]</f>
        <v>0</v>
      </c>
      <c r="J64" s="24">
        <f>Table1[[#This Row],[Volume]]*Table1[[#This Row],[Price]]</f>
        <v>3445.0000000000005</v>
      </c>
      <c r="K64" s="45"/>
      <c r="L64" t="s">
        <v>756</v>
      </c>
      <c r="M64" s="29" t="s">
        <v>994</v>
      </c>
      <c r="N64" s="31" t="s">
        <v>995</v>
      </c>
      <c r="O64" s="31"/>
      <c r="P64" s="135"/>
      <c r="S64" s="133"/>
    </row>
    <row r="65" spans="1:19" x14ac:dyDescent="0.25">
      <c r="A65" s="43">
        <v>44644</v>
      </c>
      <c r="B65" s="14" t="s">
        <v>90</v>
      </c>
      <c r="C65" s="14" t="s">
        <v>912</v>
      </c>
      <c r="D65" s="16">
        <f>-F65*E65*0.0025</f>
        <v>74.875</v>
      </c>
      <c r="E65" s="14">
        <v>59.9</v>
      </c>
      <c r="F65" s="14">
        <v>-500</v>
      </c>
      <c r="G65" s="14"/>
      <c r="H65" s="71">
        <f>Table1[[#This Row],[Result]]/(E66*F66)</f>
        <v>1.8703133903133901E-2</v>
      </c>
      <c r="I65" s="77">
        <f>Table1[[#This Row],[Date]]-A66</f>
        <v>3</v>
      </c>
      <c r="J65" s="61">
        <f>-Table1[[#This Row],[Price]]*Table1[[#This Row],[Volume]]-E66*F66-Table1[[#This Row],[Commission]]-D66+I66</f>
        <v>547.06666666666661</v>
      </c>
      <c r="K65" s="121" t="s">
        <v>913</v>
      </c>
      <c r="L65" t="s">
        <v>756</v>
      </c>
      <c r="M65" s="29" t="s">
        <v>991</v>
      </c>
      <c r="N65" s="31" t="s">
        <v>993</v>
      </c>
      <c r="O65" s="31"/>
      <c r="P65" s="135"/>
      <c r="S65" s="133"/>
    </row>
    <row r="66" spans="1:19" x14ac:dyDescent="0.25">
      <c r="A66" s="43">
        <v>44641</v>
      </c>
      <c r="B66" s="14" t="s">
        <v>62</v>
      </c>
      <c r="C66" s="14" t="s">
        <v>912</v>
      </c>
      <c r="D66" s="16">
        <f>F66*E66*0.0015</f>
        <v>43.875</v>
      </c>
      <c r="E66" s="14">
        <v>58.5</v>
      </c>
      <c r="F66" s="14">
        <v>500</v>
      </c>
      <c r="G66" s="14"/>
      <c r="H66" s="71"/>
      <c r="I66" s="67">
        <f>-105/360*(I65+1)*Table1[[#This Row],[Notes]]</f>
        <v>-34.183333333333337</v>
      </c>
      <c r="J66" s="24">
        <f>Table1[[#This Row],[Volume]]*Table1[[#This Row],[Price]]</f>
        <v>29250</v>
      </c>
      <c r="K66" s="45">
        <v>29.3</v>
      </c>
      <c r="L66" t="s">
        <v>756</v>
      </c>
      <c r="M66" s="29" t="s">
        <v>984</v>
      </c>
      <c r="N66" s="31" t="s">
        <v>990</v>
      </c>
      <c r="O66" s="31"/>
      <c r="P66" s="135"/>
      <c r="S66" s="133"/>
    </row>
    <row r="67" spans="1:19" x14ac:dyDescent="0.25">
      <c r="A67" s="43">
        <v>44648</v>
      </c>
      <c r="B67" s="14" t="s">
        <v>90</v>
      </c>
      <c r="C67" s="14" t="s">
        <v>907</v>
      </c>
      <c r="D67" s="16">
        <f>-F67*E67*0.0025</f>
        <v>1812</v>
      </c>
      <c r="E67" s="14">
        <f>ROUNDDOWN((24.1*24.2+5.9*24)/30,2)</f>
        <v>24.16</v>
      </c>
      <c r="F67" s="14">
        <v>-30000</v>
      </c>
      <c r="G67" s="14"/>
      <c r="H67" s="71">
        <f>Table1[[#This Row],[Result]]/(E68*F68)</f>
        <v>0.17321894308943089</v>
      </c>
      <c r="I67" s="77">
        <f>Table1[[#This Row],[Date]]-A68</f>
        <v>11</v>
      </c>
      <c r="J67" s="61">
        <f>-Table1[[#This Row],[Price]]*Table1[[#This Row],[Volume]]-E68*F68-Table1[[#This Row],[Commission]]-D68+I68</f>
        <v>106529.65</v>
      </c>
      <c r="K67" s="121" t="s">
        <v>911</v>
      </c>
      <c r="L67" t="s">
        <v>756</v>
      </c>
      <c r="N67" s="31" t="s">
        <v>985</v>
      </c>
      <c r="O67" s="31"/>
      <c r="P67" s="135"/>
      <c r="S67" s="133"/>
    </row>
    <row r="68" spans="1:19" x14ac:dyDescent="0.25">
      <c r="A68" s="43">
        <v>44637</v>
      </c>
      <c r="B68" s="14" t="s">
        <v>62</v>
      </c>
      <c r="C68" s="14" t="s">
        <v>907</v>
      </c>
      <c r="D68" s="16">
        <f>F68*E68*0.0015</f>
        <v>922.5</v>
      </c>
      <c r="E68" s="14">
        <f>(30*20.5+2*20.5)/32</f>
        <v>20.5</v>
      </c>
      <c r="F68" s="14">
        <v>30000</v>
      </c>
      <c r="G68" s="14"/>
      <c r="H68" s="71"/>
      <c r="I68" s="67">
        <f>-105/360*(I67+1)*Table1[[#This Row],[Notes]]</f>
        <v>-535.85000000000014</v>
      </c>
      <c r="J68" s="24">
        <f>Table1[[#This Row],[Volume]]*Table1[[#This Row],[Price]]</f>
        <v>615000</v>
      </c>
      <c r="K68" s="45">
        <f>615.1-462</f>
        <v>153.10000000000002</v>
      </c>
      <c r="L68" t="s">
        <v>756</v>
      </c>
      <c r="M68" s="29" t="s">
        <v>981</v>
      </c>
      <c r="N68" s="31" t="s">
        <v>983</v>
      </c>
      <c r="O68" s="31"/>
      <c r="P68" s="135"/>
      <c r="S68" s="133"/>
    </row>
    <row r="69" spans="1:19" x14ac:dyDescent="0.25">
      <c r="A69" s="43">
        <v>44636</v>
      </c>
      <c r="B69" s="14" t="s">
        <v>62</v>
      </c>
      <c r="C69" s="14" t="s">
        <v>657</v>
      </c>
      <c r="D69" s="16"/>
      <c r="E69" s="14">
        <v>1469</v>
      </c>
      <c r="F69" s="14">
        <v>14</v>
      </c>
      <c r="G69" s="14"/>
      <c r="H69" s="97"/>
      <c r="I69" s="67"/>
      <c r="J69" s="131">
        <f>(E70-Table1[[#This Row],[Price]])*14*100-(D69+D70)</f>
        <v>-11210.78599999986</v>
      </c>
      <c r="K69" s="45" t="s">
        <v>905</v>
      </c>
      <c r="L69" t="s">
        <v>756</v>
      </c>
      <c r="M69" s="29" t="s">
        <v>972</v>
      </c>
      <c r="N69" s="31" t="s">
        <v>978</v>
      </c>
      <c r="O69" s="31"/>
      <c r="P69" s="135"/>
      <c r="S69" s="133"/>
    </row>
    <row r="70" spans="1:19" x14ac:dyDescent="0.25">
      <c r="A70" s="43">
        <v>44635</v>
      </c>
      <c r="B70" s="14" t="s">
        <v>90</v>
      </c>
      <c r="C70" s="14" t="s">
        <v>657</v>
      </c>
      <c r="D70" s="16">
        <f>93.8+132.986+100+30+100+100</f>
        <v>556.78600000000006</v>
      </c>
      <c r="E70" s="14">
        <v>1461.39</v>
      </c>
      <c r="F70" s="14">
        <v>-14</v>
      </c>
      <c r="G70" s="14"/>
      <c r="H70" s="97"/>
      <c r="I70" s="67"/>
      <c r="J70" s="98">
        <f>Table1[[#This Row],[Price]]*Table1[[#This Row],[Volume]]*1</f>
        <v>-20459.460000000003</v>
      </c>
      <c r="K70" s="45" t="s">
        <v>902</v>
      </c>
      <c r="L70" t="s">
        <v>756</v>
      </c>
      <c r="N70" s="31" t="s">
        <v>974</v>
      </c>
      <c r="O70" s="31"/>
      <c r="P70" s="135"/>
      <c r="S70" s="133"/>
    </row>
    <row r="71" spans="1:19" x14ac:dyDescent="0.25">
      <c r="A71" s="43">
        <v>44635</v>
      </c>
      <c r="B71" s="14" t="s">
        <v>90</v>
      </c>
      <c r="C71" s="14" t="s">
        <v>266</v>
      </c>
      <c r="D71" s="16">
        <f>-F71*E71*0.0025</f>
        <v>2376.0000000000005</v>
      </c>
      <c r="E71" s="14">
        <v>43.2</v>
      </c>
      <c r="F71" s="14">
        <v>-22000</v>
      </c>
      <c r="G71" s="14"/>
      <c r="H71" s="71">
        <f>Table1[[#This Row],[Result]]/(E72*F72)</f>
        <v>-9.2296926498351944E-2</v>
      </c>
      <c r="I71" s="77">
        <f>Table1[[#This Row],[Date]]-A72</f>
        <v>5</v>
      </c>
      <c r="J71" s="59">
        <f>-Table1[[#This Row],[Price]]*Table1[[#This Row],[Volume]]-E72*F72-Table1[[#This Row],[Commission]]-D72+I72</f>
        <v>-96145.708333333227</v>
      </c>
      <c r="K71" s="121" t="s">
        <v>901</v>
      </c>
      <c r="L71" t="s">
        <v>756</v>
      </c>
      <c r="M71" s="33" t="s">
        <v>967</v>
      </c>
      <c r="N71" s="31" t="s">
        <v>970</v>
      </c>
      <c r="O71" s="31"/>
      <c r="P71" s="135"/>
      <c r="S71" s="133"/>
    </row>
    <row r="72" spans="1:19" x14ac:dyDescent="0.25">
      <c r="A72" s="43">
        <v>44630</v>
      </c>
      <c r="B72" s="14" t="s">
        <v>62</v>
      </c>
      <c r="C72" s="14" t="s">
        <v>266</v>
      </c>
      <c r="D72" s="16">
        <f>F72*E72*0.0015</f>
        <v>1562.55</v>
      </c>
      <c r="E72" s="14">
        <v>47.35</v>
      </c>
      <c r="F72" s="14">
        <v>22000</v>
      </c>
      <c r="G72" s="14"/>
      <c r="H72" s="71"/>
      <c r="I72" s="67">
        <f>-115/360*(I71+1)*Table1[[#This Row],[Notes]]</f>
        <v>-907.1583333333333</v>
      </c>
      <c r="J72" s="24">
        <f>Table1[[#This Row],[Volume]]*Table1[[#This Row],[Price]]</f>
        <v>1041700</v>
      </c>
      <c r="K72" s="45">
        <f>ROUNDUP((Table1[[#This Row],[Price]]*Table1[[#This Row],[Volume]]+Table1[[#This Row],[Commission]]-570000)/1000,1)</f>
        <v>473.3</v>
      </c>
      <c r="L72" t="s">
        <v>756</v>
      </c>
      <c r="M72" s="33"/>
      <c r="N72" t="s">
        <v>971</v>
      </c>
      <c r="O72" s="31"/>
      <c r="P72" s="135"/>
      <c r="S72" s="2"/>
    </row>
    <row r="73" spans="1:19" x14ac:dyDescent="0.25">
      <c r="A73" s="43">
        <v>44628</v>
      </c>
      <c r="B73" s="14" t="s">
        <v>90</v>
      </c>
      <c r="C73" s="14" t="s">
        <v>893</v>
      </c>
      <c r="D73" s="16">
        <f>-F73*E73*0.0025</f>
        <v>34.5</v>
      </c>
      <c r="E73" s="14">
        <v>13.8</v>
      </c>
      <c r="F73" s="14">
        <v>-1000</v>
      </c>
      <c r="G73" s="14"/>
      <c r="H73" s="71">
        <f>Table1[[#This Row],[Result]]/(E74*F74)</f>
        <v>3.7405660377358492E-2</v>
      </c>
      <c r="I73" s="77">
        <f>Table1[[#This Row],[Date]]-A74</f>
        <v>5</v>
      </c>
      <c r="J73" s="61">
        <f>-Table1[[#This Row],[Price]]*Table1[[#This Row],[Volume]]-E74*F74-Table1[[#This Row],[Commission]]-D74+I74</f>
        <v>495.625</v>
      </c>
      <c r="K73" s="121"/>
      <c r="L73" t="s">
        <v>756</v>
      </c>
      <c r="M73" s="33"/>
      <c r="N73" s="31" t="s">
        <v>968</v>
      </c>
      <c r="O73" s="31"/>
      <c r="P73" s="31"/>
      <c r="S73" s="2"/>
    </row>
    <row r="74" spans="1:19" x14ac:dyDescent="0.25">
      <c r="A74" s="43">
        <v>44623</v>
      </c>
      <c r="B74" s="14" t="s">
        <v>62</v>
      </c>
      <c r="C74" s="14" t="s">
        <v>893</v>
      </c>
      <c r="D74" s="16">
        <f>F74*E74*0.0015</f>
        <v>19.875</v>
      </c>
      <c r="E74" s="14">
        <v>13.25</v>
      </c>
      <c r="F74" s="14">
        <v>1000</v>
      </c>
      <c r="G74" s="14"/>
      <c r="H74" s="71"/>
      <c r="I74" s="67"/>
      <c r="J74" s="24">
        <f>Table1[[#This Row],[Volume]]*Table1[[#This Row],[Price]]</f>
        <v>13250</v>
      </c>
      <c r="K74" s="45"/>
      <c r="L74" t="s">
        <v>756</v>
      </c>
      <c r="M74" s="33" t="s">
        <v>964</v>
      </c>
      <c r="N74" s="31" t="s">
        <v>966</v>
      </c>
      <c r="O74" s="31"/>
      <c r="P74" s="31"/>
      <c r="S74" s="2"/>
    </row>
    <row r="75" spans="1:19" x14ac:dyDescent="0.25">
      <c r="A75" s="43">
        <v>44628</v>
      </c>
      <c r="B75" s="14" t="s">
        <v>90</v>
      </c>
      <c r="C75" s="14" t="s">
        <v>266</v>
      </c>
      <c r="D75" s="16">
        <f>-F75*E75*0.0025</f>
        <v>2561.9</v>
      </c>
      <c r="E75" s="14">
        <f>ROUNDDOWN((12*46.4+5*46.75+5*46.85)/22,2)</f>
        <v>46.58</v>
      </c>
      <c r="F75" s="14">
        <v>-22000</v>
      </c>
      <c r="G75" s="14"/>
      <c r="H75" s="71">
        <f>Table1[[#This Row],[Result]]/(E76*F76)</f>
        <v>3.5214793019480641E-2</v>
      </c>
      <c r="I75" s="77">
        <f>Table1[[#This Row],[Date]]-A76</f>
        <v>6</v>
      </c>
      <c r="J75" s="61">
        <f>-Table1[[#This Row],[Price]]*Table1[[#This Row],[Volume]]-E76*F76-Table1[[#This Row],[Commission]]-D76+I76</f>
        <v>34707.700000000114</v>
      </c>
      <c r="K75" s="121" t="s">
        <v>898</v>
      </c>
      <c r="L75" t="s">
        <v>756</v>
      </c>
      <c r="M75" s="29" t="s">
        <v>959</v>
      </c>
      <c r="N75" s="106" t="s">
        <v>962</v>
      </c>
      <c r="O75" s="34"/>
      <c r="P75" s="31"/>
      <c r="S75" s="2"/>
    </row>
    <row r="76" spans="1:19" x14ac:dyDescent="0.25">
      <c r="A76" s="43">
        <v>44622</v>
      </c>
      <c r="B76" s="14" t="s">
        <v>62</v>
      </c>
      <c r="C76" s="14" t="s">
        <v>266</v>
      </c>
      <c r="D76" s="16">
        <f>F76*E76*0.0015</f>
        <v>1478.3999999999999</v>
      </c>
      <c r="E76" s="14">
        <v>44.8</v>
      </c>
      <c r="F76" s="14">
        <v>22000</v>
      </c>
      <c r="G76" s="14"/>
      <c r="H76" s="71"/>
      <c r="I76" s="67">
        <v>-412</v>
      </c>
      <c r="J76" s="24">
        <f>Table1[[#This Row],[Volume]]*Table1[[#This Row],[Price]]</f>
        <v>985599.99999999988</v>
      </c>
      <c r="K76" s="45">
        <f>ROUNDUP((Table1[[#This Row],[Price]]*Table1[[#This Row],[Volume]]+Table1[[#This Row],[Commission]]-512800)/1000,1)</f>
        <v>474.3</v>
      </c>
      <c r="L76" t="s">
        <v>756</v>
      </c>
      <c r="M76" s="29" t="s">
        <v>953</v>
      </c>
      <c r="N76" s="106" t="s">
        <v>958</v>
      </c>
      <c r="O76" s="34"/>
      <c r="P76" s="31"/>
      <c r="S76" s="2"/>
    </row>
    <row r="77" spans="1:19" x14ac:dyDescent="0.25">
      <c r="A77" s="43">
        <v>44622</v>
      </c>
      <c r="B77" s="14" t="s">
        <v>90</v>
      </c>
      <c r="C77" s="14" t="s">
        <v>266</v>
      </c>
      <c r="D77" s="16">
        <f>-F77*E77*0.0025</f>
        <v>2516.25</v>
      </c>
      <c r="E77" s="14">
        <v>45.75</v>
      </c>
      <c r="F77" s="14">
        <v>-22000</v>
      </c>
      <c r="G77" s="14"/>
      <c r="H77" s="71">
        <f>Table1[[#This Row],[Result]]/(E78*F78)</f>
        <v>1.283358613948146E-2</v>
      </c>
      <c r="I77" s="77">
        <f>Table1[[#This Row],[Date]]-A78</f>
        <v>5</v>
      </c>
      <c r="J77" s="61">
        <f>-Table1[[#This Row],[Price]]*Table1[[#This Row],[Volume]]-E78*F78-Table1[[#This Row],[Commission]]-D78+I78</f>
        <v>12691.133333333217</v>
      </c>
      <c r="K77" s="121" t="s">
        <v>890</v>
      </c>
      <c r="L77" t="s">
        <v>756</v>
      </c>
      <c r="M77" s="29" t="s">
        <v>950</v>
      </c>
      <c r="N77" s="106" t="s">
        <v>952</v>
      </c>
      <c r="O77" s="34"/>
      <c r="P77" s="31"/>
      <c r="S77" s="2"/>
    </row>
    <row r="78" spans="1:19" x14ac:dyDescent="0.25">
      <c r="A78" s="43">
        <v>44617</v>
      </c>
      <c r="B78" s="14" t="s">
        <v>62</v>
      </c>
      <c r="C78" s="14" t="s">
        <v>266</v>
      </c>
      <c r="D78" s="16">
        <f>F78*E78*0.0015</f>
        <v>1483.3500000000001</v>
      </c>
      <c r="E78" s="14">
        <v>44.95</v>
      </c>
      <c r="F78" s="14">
        <v>22000</v>
      </c>
      <c r="G78" s="14"/>
      <c r="H78" s="71"/>
      <c r="I78" s="67">
        <f>-115/360*(I77+1)*Table1[[#This Row],[Notes]]</f>
        <v>-909.26666666666665</v>
      </c>
      <c r="J78" s="24">
        <f>Table1[[#This Row],[Volume]]*Table1[[#This Row],[Price]]</f>
        <v>988900.00000000012</v>
      </c>
      <c r="K78" s="45">
        <f>ROUNDUP((Table1[[#This Row],[Price]]*Table1[[#This Row],[Volume]]+Table1[[#This Row],[Commission]]-516000)/1000,1)</f>
        <v>474.40000000000003</v>
      </c>
      <c r="L78" t="s">
        <v>756</v>
      </c>
      <c r="M78" s="29" t="s">
        <v>949</v>
      </c>
      <c r="N78" s="106" t="s">
        <v>951</v>
      </c>
      <c r="O78" s="34"/>
      <c r="P78" s="31"/>
      <c r="S78" s="2"/>
    </row>
    <row r="79" spans="1:19" x14ac:dyDescent="0.25">
      <c r="A79" s="43">
        <v>44616</v>
      </c>
      <c r="B79" s="14"/>
      <c r="C79" s="14"/>
      <c r="D79" s="16"/>
      <c r="E79" s="14"/>
      <c r="F79" s="14"/>
      <c r="G79" s="14">
        <v>20000</v>
      </c>
      <c r="H79" s="97"/>
      <c r="I79" s="67"/>
      <c r="J79" s="98"/>
      <c r="K79" s="45" t="s">
        <v>882</v>
      </c>
      <c r="L79" t="s">
        <v>756</v>
      </c>
      <c r="M79" s="29" t="s">
        <v>947</v>
      </c>
      <c r="N79" s="106" t="s">
        <v>948</v>
      </c>
      <c r="O79" s="34"/>
      <c r="P79" s="31"/>
      <c r="S79" s="2"/>
    </row>
    <row r="80" spans="1:19" x14ac:dyDescent="0.25">
      <c r="A80" s="43">
        <v>44608</v>
      </c>
      <c r="B80" s="14"/>
      <c r="C80" s="14"/>
      <c r="D80" s="16"/>
      <c r="E80" s="14"/>
      <c r="F80" s="14"/>
      <c r="G80" s="14">
        <v>25000</v>
      </c>
      <c r="H80" s="97"/>
      <c r="I80" s="67"/>
      <c r="J80" s="98"/>
      <c r="K80" s="45" t="s">
        <v>880</v>
      </c>
      <c r="L80" t="s">
        <v>756</v>
      </c>
      <c r="M80" s="29" t="s">
        <v>944</v>
      </c>
      <c r="N80" s="106" t="s">
        <v>945</v>
      </c>
      <c r="O80" s="34"/>
      <c r="P80" s="31"/>
      <c r="S80" s="2"/>
    </row>
    <row r="81" spans="1:19" x14ac:dyDescent="0.25">
      <c r="A81" s="43">
        <v>44607</v>
      </c>
      <c r="B81" s="14"/>
      <c r="C81" s="14"/>
      <c r="D81" s="16"/>
      <c r="E81" s="14"/>
      <c r="F81" s="14">
        <f>5.4+7-27.5</f>
        <v>-15.1</v>
      </c>
      <c r="G81" s="14">
        <v>7500</v>
      </c>
      <c r="H81" s="97"/>
      <c r="I81" s="67"/>
      <c r="J81" s="98"/>
      <c r="K81" s="45" t="s">
        <v>879</v>
      </c>
      <c r="L81" t="s">
        <v>756</v>
      </c>
      <c r="M81" s="29" t="s">
        <v>942</v>
      </c>
      <c r="N81" s="106" t="s">
        <v>943</v>
      </c>
      <c r="O81" s="34"/>
      <c r="P81" s="31"/>
      <c r="S81" s="2"/>
    </row>
    <row r="82" spans="1:19" x14ac:dyDescent="0.25">
      <c r="A82" s="43">
        <v>44554</v>
      </c>
      <c r="B82" s="14"/>
      <c r="C82" s="14"/>
      <c r="D82" s="16"/>
      <c r="E82" s="14"/>
      <c r="F82" s="14"/>
      <c r="G82" s="14">
        <v>25000</v>
      </c>
      <c r="H82" s="97"/>
      <c r="I82" s="67"/>
      <c r="J82" s="98"/>
      <c r="K82" s="45" t="s">
        <v>843</v>
      </c>
      <c r="L82" t="s">
        <v>756</v>
      </c>
      <c r="M82" s="29" t="s">
        <v>940</v>
      </c>
      <c r="N82" s="106" t="s">
        <v>941</v>
      </c>
      <c r="O82" s="34"/>
      <c r="P82" s="31"/>
      <c r="S82" s="2"/>
    </row>
    <row r="83" spans="1:19" x14ac:dyDescent="0.25">
      <c r="A83" s="43">
        <v>44530</v>
      </c>
      <c r="B83" s="14"/>
      <c r="C83" s="14"/>
      <c r="D83" s="16"/>
      <c r="E83" s="14"/>
      <c r="F83" s="14"/>
      <c r="G83" s="14">
        <v>3000</v>
      </c>
      <c r="H83" s="97"/>
      <c r="I83" s="67"/>
      <c r="J83" s="98"/>
      <c r="K83" s="45" t="s">
        <v>836</v>
      </c>
      <c r="L83" t="s">
        <v>756</v>
      </c>
      <c r="M83" s="29" t="s">
        <v>938</v>
      </c>
      <c r="N83" s="106" t="s">
        <v>939</v>
      </c>
      <c r="O83" s="34"/>
      <c r="P83" s="31"/>
      <c r="S83" s="2"/>
    </row>
    <row r="84" spans="1:19" x14ac:dyDescent="0.25">
      <c r="A84" s="43">
        <v>44530</v>
      </c>
      <c r="B84" s="14" t="s">
        <v>90</v>
      </c>
      <c r="C84" s="14" t="s">
        <v>266</v>
      </c>
      <c r="D84" s="16">
        <f>-F84*E84*0.0025</f>
        <v>2617.3000000000002</v>
      </c>
      <c r="E84" s="14">
        <f>(56*18+55.6*0.7)/18.7</f>
        <v>55.985026737967921</v>
      </c>
      <c r="F84" s="14">
        <v>-18700</v>
      </c>
      <c r="G84" s="14"/>
      <c r="H84" s="71">
        <f>Table1[[#This Row],[Result]]/(E85*F85)</f>
        <v>2.8980568915897124E-2</v>
      </c>
      <c r="I84" s="77">
        <f>DATEDIF(A85,A84,"d")-IF(DATEDIF(A85,A84,"d")+1&gt;=6,ROUNDDOWN(((DATEDIF(A85,A84,"d")+1)/7),0)*2,1)+1</f>
        <v>6</v>
      </c>
      <c r="J84" s="61">
        <f>-Table1[[#This Row],[Price]]*Table1[[#This Row],[Volume]]-E85*F85-Table1[[#This Row],[Commission]]-D85+I85</f>
        <v>29348.903832258875</v>
      </c>
      <c r="K84" s="45" t="s">
        <v>833</v>
      </c>
      <c r="L84" t="s">
        <v>756</v>
      </c>
      <c r="M84" s="29" t="s">
        <v>935</v>
      </c>
      <c r="N84" s="106" t="s">
        <v>937</v>
      </c>
      <c r="O84" s="34"/>
      <c r="P84" s="31"/>
      <c r="S84" s="2"/>
    </row>
    <row r="85" spans="1:19" x14ac:dyDescent="0.25">
      <c r="A85" s="43">
        <v>44525</v>
      </c>
      <c r="B85" s="14" t="s">
        <v>62</v>
      </c>
      <c r="C85" s="14" t="s">
        <v>266</v>
      </c>
      <c r="D85" s="16">
        <f>F85*E85*0.0015</f>
        <v>1519.0645799999998</v>
      </c>
      <c r="E85" s="14">
        <f>(18.7*53.3+0.3*54.6+6*56.8)/(18.7+6+0.3)</f>
        <v>54.155599999999993</v>
      </c>
      <c r="F85" s="14">
        <v>18700</v>
      </c>
      <c r="G85" s="14"/>
      <c r="H85" s="71"/>
      <c r="I85" s="67">
        <f>-115/360*(I84+1)*Table1[[#This Row],[Notes]]</f>
        <v>-725.01158774138844</v>
      </c>
      <c r="J85" s="24">
        <f>(Table1[[#This Row],[Volume]]*Table1[[#This Row],[Price]]+Table1[[#This Row],[Commission]])</f>
        <v>1014228.7845799999</v>
      </c>
      <c r="K85" s="109">
        <f>(Table1[[#This Row],[Result]]-690000)/1000</f>
        <v>324.22878457999985</v>
      </c>
      <c r="L85" t="s">
        <v>756</v>
      </c>
      <c r="M85" s="29" t="s">
        <v>930</v>
      </c>
      <c r="N85" s="106" t="s">
        <v>932</v>
      </c>
      <c r="O85" s="34"/>
      <c r="P85" s="31"/>
      <c r="S85" s="2"/>
    </row>
    <row r="86" spans="1:19" x14ac:dyDescent="0.25">
      <c r="A86" s="123">
        <v>44616</v>
      </c>
      <c r="B86" s="124" t="s">
        <v>90</v>
      </c>
      <c r="C86" s="124" t="s">
        <v>266</v>
      </c>
      <c r="D86" s="125">
        <f>-F86*E86*0.0025</f>
        <v>3100.625</v>
      </c>
      <c r="E86" s="124">
        <f>ROUNDDOWN((45.1*7+45.15*15.1+45*5.4)/27.5,2)</f>
        <v>45.1</v>
      </c>
      <c r="F86" s="124">
        <v>-27500</v>
      </c>
      <c r="G86" s="124"/>
      <c r="H86" s="126">
        <f>Table1[[#This Row],[Result]]/(E87*F87)</f>
        <v>-0.1885388399962932</v>
      </c>
      <c r="I86" s="127">
        <f>Table1[[#This Row],[Date]]-A87</f>
        <v>91</v>
      </c>
      <c r="J86" s="59">
        <f>-Table1[[#This Row],[Price]]*Table1[[#This Row],[Volume]]-E87*F87-Table1[[#This Row],[Commission]]-D87+I87</f>
        <v>-282572.58644444443</v>
      </c>
      <c r="K86" s="45" t="s">
        <v>896</v>
      </c>
      <c r="L86" t="s">
        <v>756</v>
      </c>
      <c r="M86" s="29" t="s">
        <v>909</v>
      </c>
      <c r="N86" s="106" t="s">
        <v>910</v>
      </c>
      <c r="O86" s="34"/>
      <c r="P86" s="31"/>
      <c r="S86" s="2"/>
    </row>
    <row r="87" spans="1:19" x14ac:dyDescent="0.25">
      <c r="A87" s="123">
        <v>44525</v>
      </c>
      <c r="B87" s="124" t="s">
        <v>62</v>
      </c>
      <c r="C87" s="124" t="s">
        <v>266</v>
      </c>
      <c r="D87" s="125">
        <f>F87*E87*0.0015</f>
        <v>2248.125</v>
      </c>
      <c r="E87" s="124">
        <f>ROUNDDOWN((54.803*26.5+48.84*0.5+44.6*0.5)/27.5,2)</f>
        <v>54.5</v>
      </c>
      <c r="F87" s="124">
        <v>27500</v>
      </c>
      <c r="G87" s="124">
        <v>120000</v>
      </c>
      <c r="H87" s="126"/>
      <c r="I87" s="128">
        <f>-98/360*(I86)*Table1[[#This Row],[Notes]]</f>
        <v>-18723.836444444441</v>
      </c>
      <c r="J87" s="129">
        <f>1478844.95</f>
        <v>1478844.95</v>
      </c>
      <c r="K87" s="109">
        <v>755.84</v>
      </c>
      <c r="L87" t="s">
        <v>756</v>
      </c>
      <c r="M87" s="29" t="s">
        <v>906</v>
      </c>
      <c r="N87" s="106" t="s">
        <v>908</v>
      </c>
      <c r="O87" s="34"/>
      <c r="P87" s="31"/>
      <c r="S87" s="2"/>
    </row>
    <row r="88" spans="1:19" x14ac:dyDescent="0.25">
      <c r="A88" s="43">
        <v>44523</v>
      </c>
      <c r="B88" s="14" t="s">
        <v>825</v>
      </c>
      <c r="C88" s="14" t="s">
        <v>657</v>
      </c>
      <c r="D88" s="108">
        <f>-(-320-60.3-194.3-290.504)</f>
        <v>865.10400000000004</v>
      </c>
      <c r="E88" s="14">
        <f>(9*1513+10*1530)/19-1547</f>
        <v>-25.052631578947285</v>
      </c>
      <c r="F88" s="14">
        <v>19</v>
      </c>
      <c r="G88" s="14"/>
      <c r="H88" s="97"/>
      <c r="I88" s="77">
        <f>DATEDIF(A89,A88,"d")-IF(DATEDIF(A89,A88,"d")+1&gt;=6,ROUNDDOWN(((DATEDIF(A89,A88,"d")+1)/7),0)*2,1)+1</f>
        <v>1</v>
      </c>
      <c r="J88" s="107">
        <f>Table1[[#This Row],[Volume]]*Table1[[#This Row],[Price]]*100-Table1[[#This Row],[Commission]]</f>
        <v>-48465.103999999839</v>
      </c>
      <c r="K88" s="45" t="s">
        <v>826</v>
      </c>
      <c r="L88" t="s">
        <v>756</v>
      </c>
      <c r="M88" s="29" t="s">
        <v>903</v>
      </c>
      <c r="N88" s="106" t="s">
        <v>904</v>
      </c>
      <c r="O88" s="34"/>
      <c r="P88" s="31"/>
      <c r="S88" s="2"/>
    </row>
    <row r="89" spans="1:19" x14ac:dyDescent="0.25">
      <c r="A89" s="43">
        <v>44522</v>
      </c>
      <c r="B89" s="14" t="s">
        <v>90</v>
      </c>
      <c r="C89" s="14" t="s">
        <v>808</v>
      </c>
      <c r="D89" s="16">
        <f>-F89*E89*0.0025</f>
        <v>3115.35</v>
      </c>
      <c r="E89" s="14">
        <v>48.3</v>
      </c>
      <c r="F89" s="14">
        <v>-25800</v>
      </c>
      <c r="G89" s="14"/>
      <c r="H89" s="71">
        <f>Table1[[#This Row],[Result]]/(E90*F90)</f>
        <v>5.1076888020115278E-2</v>
      </c>
      <c r="I89" s="77">
        <f>DATEDIF(A90,A89,"d")-IF(DATEDIF(A90,A89,"d")+1&gt;=6,ROUNDDOWN(((DATEDIF(A90,A89,"d")+1)/7),0)*2,1)+1</f>
        <v>11</v>
      </c>
      <c r="J89" s="61">
        <f>-Table1[[#This Row],[Price]]*Table1[[#This Row],[Volume]]-E90*F90-Table1[[#This Row],[Commission]]-D90+I90</f>
        <v>60202.948833333336</v>
      </c>
      <c r="K89" s="45" t="s">
        <v>822</v>
      </c>
      <c r="L89" t="s">
        <v>756</v>
      </c>
      <c r="M89" s="29" t="s">
        <v>897</v>
      </c>
      <c r="N89" s="106" t="s">
        <v>900</v>
      </c>
      <c r="O89" s="34"/>
      <c r="P89" s="31"/>
      <c r="S89" s="2"/>
    </row>
    <row r="90" spans="1:19" x14ac:dyDescent="0.25">
      <c r="A90" s="43">
        <v>44508</v>
      </c>
      <c r="B90" s="14" t="s">
        <v>62</v>
      </c>
      <c r="C90" s="14" t="s">
        <v>808</v>
      </c>
      <c r="D90" s="16">
        <f>F90*E90*0.0015</f>
        <v>1768.0095000000001</v>
      </c>
      <c r="E90" s="14">
        <v>45.685000000000002</v>
      </c>
      <c r="F90" s="14">
        <v>25800</v>
      </c>
      <c r="G90" s="14"/>
      <c r="H90" s="71"/>
      <c r="I90" s="67">
        <f>-115/360*(I89+1)*Table1[[#This Row],[Notes]]</f>
        <v>-2380.6916666666662</v>
      </c>
      <c r="J90" s="24">
        <f>(Table1[[#This Row],[Volume]]*Table1[[#This Row],[Price]]+Table1[[#This Row],[Commission]])</f>
        <v>1180441.0094999999</v>
      </c>
      <c r="K90" s="45">
        <f>477.41+2.8*51.3</f>
        <v>621.04999999999995</v>
      </c>
      <c r="L90" t="s">
        <v>756</v>
      </c>
      <c r="M90" s="29" t="s">
        <v>891</v>
      </c>
      <c r="N90" s="106" t="s">
        <v>892</v>
      </c>
      <c r="O90" s="34"/>
      <c r="P90" s="31"/>
      <c r="S90" s="2"/>
    </row>
    <row r="91" spans="1:19" x14ac:dyDescent="0.25">
      <c r="A91" s="43">
        <v>44502</v>
      </c>
      <c r="B91" s="14" t="s">
        <v>90</v>
      </c>
      <c r="C91" s="14" t="s">
        <v>616</v>
      </c>
      <c r="D91" s="16">
        <f>-F91*E91*0.0025</f>
        <v>1984.2250000000004</v>
      </c>
      <c r="E91" s="14">
        <f>(7.9*28.55+10*28.6+10*28.5)/27.9</f>
        <v>28.550000000000004</v>
      </c>
      <c r="F91" s="14">
        <v>-27800</v>
      </c>
      <c r="G91" s="14"/>
      <c r="H91" s="71">
        <f>Table1[[#This Row],[Result]]/(E92*F92)</f>
        <v>0.11468188884186784</v>
      </c>
      <c r="I91" s="77">
        <f>DATEDIF(A92,A91,"d")-IF(DATEDIF(A92,A91,"d")+1&gt;=6,ROUNDDOWN(((DATEDIF(A92,A91,"d")+1)/7),0)*2,1)+1</f>
        <v>5</v>
      </c>
      <c r="J91" s="61">
        <f>-Table1[[#This Row],[Price]]*Table1[[#This Row],[Volume]]-E92*F92-Table1[[#This Row],[Commission]]-D92+I92</f>
        <v>81297.991000000111</v>
      </c>
      <c r="K91" s="45" t="s">
        <v>803</v>
      </c>
      <c r="L91" t="s">
        <v>756</v>
      </c>
      <c r="M91" s="29" t="s">
        <v>888</v>
      </c>
      <c r="N91" s="106" t="s">
        <v>889</v>
      </c>
      <c r="O91" s="34"/>
      <c r="P91" s="31"/>
      <c r="S91" s="2"/>
    </row>
    <row r="92" spans="1:19" x14ac:dyDescent="0.25">
      <c r="A92" s="43">
        <v>44496</v>
      </c>
      <c r="B92" s="14" t="s">
        <v>62</v>
      </c>
      <c r="C92" s="14" t="s">
        <v>616</v>
      </c>
      <c r="D92" s="16">
        <f>F92*E92*0.0015</f>
        <v>1063.3499999999999</v>
      </c>
      <c r="E92" s="14">
        <v>25.5</v>
      </c>
      <c r="F92" s="14">
        <v>27800</v>
      </c>
      <c r="G92" s="14"/>
      <c r="H92" s="71"/>
      <c r="I92" s="67">
        <f>-444.434</f>
        <v>-444.43400000000003</v>
      </c>
      <c r="J92" s="24">
        <f>(Table1[[#This Row],[Volume]]*Table1[[#This Row],[Price]]+Table1[[#This Row],[Commission]])</f>
        <v>709963.35</v>
      </c>
      <c r="K92" s="45">
        <v>235</v>
      </c>
      <c r="L92" t="s">
        <v>756</v>
      </c>
      <c r="M92" s="29" t="s">
        <v>881</v>
      </c>
      <c r="N92" s="106" t="s">
        <v>883</v>
      </c>
      <c r="O92" s="34"/>
      <c r="P92" s="31"/>
      <c r="S92" s="2"/>
    </row>
    <row r="93" spans="1:19" x14ac:dyDescent="0.25">
      <c r="A93" s="43">
        <v>44488</v>
      </c>
      <c r="B93" s="14" t="s">
        <v>825</v>
      </c>
      <c r="C93" s="14" t="s">
        <v>657</v>
      </c>
      <c r="D93" s="16">
        <f>46.9+68.12+60.3+87.5+26.8+39.14+33.5+48.6+33.5+48.9+13.4+19.5+33.5+48.95+26.8+39.32+33.5+49.15+129.45</f>
        <v>886.82999999999993</v>
      </c>
      <c r="E93" s="14">
        <v>3000</v>
      </c>
      <c r="F93" s="14">
        <v>-10</v>
      </c>
      <c r="G93" s="14"/>
      <c r="H93" s="97"/>
      <c r="I93" s="67"/>
      <c r="J93" s="107">
        <f>-(293.2-264-13)*1000</f>
        <v>-16199.999999999989</v>
      </c>
      <c r="K93" s="45" t="s">
        <v>796</v>
      </c>
      <c r="L93" t="s">
        <v>756</v>
      </c>
      <c r="M93" s="29" t="s">
        <v>867</v>
      </c>
      <c r="N93" s="106" t="s">
        <v>868</v>
      </c>
      <c r="O93" s="34"/>
      <c r="P93" s="31"/>
      <c r="S93" s="2"/>
    </row>
    <row r="94" spans="1:19" x14ac:dyDescent="0.25">
      <c r="A94" s="43">
        <v>44483</v>
      </c>
      <c r="B94" s="14" t="s">
        <v>90</v>
      </c>
      <c r="C94" s="14" t="s">
        <v>258</v>
      </c>
      <c r="D94" s="16">
        <f>-F94*E94*0.0025</f>
        <v>190.25</v>
      </c>
      <c r="E94" s="14">
        <v>38.049999999999997</v>
      </c>
      <c r="F94" s="14">
        <v>-2000</v>
      </c>
      <c r="G94" s="14"/>
      <c r="H94" s="71">
        <f>Table1[[#This Row],[Result]]/(E95*F95)</f>
        <v>-1.4377113133940181E-2</v>
      </c>
      <c r="I94" s="77">
        <f>DATEDIF(A95,A94,"d")-IF(DATEDIF(A95,A94,"d")+1&gt;=6,ROUNDDOWN(((DATEDIF(A95,A94,"d")+1)/7),0)*2,1)+1</f>
        <v>3</v>
      </c>
      <c r="J94" s="59">
        <f>-Table1[[#This Row],[Price]]*Table1[[#This Row],[Volume]]-E95*F95-Table1[[#This Row],[Commission]]-D95+I95</f>
        <v>-1105.5999999999999</v>
      </c>
      <c r="K94" s="45" t="s">
        <v>787</v>
      </c>
      <c r="L94" t="s">
        <v>756</v>
      </c>
      <c r="M94" s="29" t="s">
        <v>865</v>
      </c>
      <c r="N94" s="106" t="s">
        <v>866</v>
      </c>
      <c r="O94" s="34"/>
      <c r="P94" s="31"/>
      <c r="S94" s="2"/>
    </row>
    <row r="95" spans="1:19" x14ac:dyDescent="0.25">
      <c r="A95" s="43">
        <v>44480</v>
      </c>
      <c r="B95" s="14" t="s">
        <v>62</v>
      </c>
      <c r="C95" s="14" t="s">
        <v>258</v>
      </c>
      <c r="D95" s="16">
        <f>F95*E95*0.0015</f>
        <v>115.35000000000001</v>
      </c>
      <c r="E95" s="14">
        <v>38.450000000000003</v>
      </c>
      <c r="F95" s="14">
        <v>2000</v>
      </c>
      <c r="G95" s="14"/>
      <c r="H95" s="71"/>
      <c r="I95" s="67"/>
      <c r="J95" s="24">
        <f>(Table1[[#This Row],[Volume]]*Table1[[#This Row],[Price]]+Table1[[#This Row],[Commission]])</f>
        <v>77015.350000000006</v>
      </c>
      <c r="K95" s="45"/>
      <c r="L95" t="s">
        <v>756</v>
      </c>
      <c r="M95" s="29" t="s">
        <v>863</v>
      </c>
      <c r="N95" s="106" t="s">
        <v>864</v>
      </c>
      <c r="O95" s="34"/>
      <c r="P95" s="31"/>
      <c r="S95" s="2"/>
    </row>
    <row r="96" spans="1:19" x14ac:dyDescent="0.25">
      <c r="A96" s="43">
        <v>44482</v>
      </c>
      <c r="B96" s="14" t="s">
        <v>90</v>
      </c>
      <c r="C96" s="14" t="s">
        <v>616</v>
      </c>
      <c r="D96" s="16">
        <f>-F96*E96*0.0025</f>
        <v>786.5</v>
      </c>
      <c r="E96" s="14">
        <v>24.2</v>
      </c>
      <c r="F96" s="14">
        <v>-13000</v>
      </c>
      <c r="G96" s="14"/>
      <c r="H96" s="71">
        <f>Table1[[#This Row],[Result]]/(E97*F97)</f>
        <v>-1.4199386503067483E-2</v>
      </c>
      <c r="I96" s="77">
        <f>DATEDIF(A97,A96,"d")-IF(DATEDIF(A97,A96,"d")+1&gt;=6,ROUNDDOWN(((DATEDIF(A97,A96,"d")+1)/7),0)*2,1)+1</f>
        <v>6</v>
      </c>
      <c r="J96" s="59">
        <f>-Table1[[#This Row],[Price]]*Table1[[#This Row],[Volume]]-E97*F97-Table1[[#This Row],[Commission]]-D97+I97</f>
        <v>-4513.2749999999996</v>
      </c>
      <c r="K96" s="45" t="s">
        <v>784</v>
      </c>
      <c r="L96" t="s">
        <v>756</v>
      </c>
      <c r="M96" s="29" t="s">
        <v>861</v>
      </c>
      <c r="N96" s="106" t="s">
        <v>862</v>
      </c>
      <c r="O96" s="34"/>
      <c r="P96" s="31"/>
      <c r="S96" s="2"/>
    </row>
    <row r="97" spans="1:19" x14ac:dyDescent="0.25">
      <c r="A97" s="43">
        <v>44477</v>
      </c>
      <c r="B97" s="14" t="s">
        <v>62</v>
      </c>
      <c r="C97" s="14" t="s">
        <v>616</v>
      </c>
      <c r="D97" s="16">
        <f>F97*E97*0.0015</f>
        <v>476.77500000000003</v>
      </c>
      <c r="E97" s="14">
        <v>24.45</v>
      </c>
      <c r="F97" s="14">
        <v>13000</v>
      </c>
      <c r="G97" s="14"/>
      <c r="H97" s="71"/>
      <c r="I97" s="67"/>
      <c r="J97" s="24">
        <f>(Table1[[#This Row],[Volume]]*Table1[[#This Row],[Price]]+Table1[[#This Row],[Commission]])</f>
        <v>318326.77500000002</v>
      </c>
      <c r="K97" s="45"/>
      <c r="L97" t="s">
        <v>756</v>
      </c>
      <c r="M97" s="29" t="s">
        <v>858</v>
      </c>
      <c r="N97" s="106" t="s">
        <v>860</v>
      </c>
      <c r="O97" s="34"/>
      <c r="P97" s="31"/>
      <c r="S97" s="2"/>
    </row>
    <row r="98" spans="1:19" x14ac:dyDescent="0.25">
      <c r="A98" s="43">
        <v>44481</v>
      </c>
      <c r="B98" s="14" t="s">
        <v>90</v>
      </c>
      <c r="C98" s="14" t="s">
        <v>776</v>
      </c>
      <c r="D98" s="16">
        <f>-F98*E98*0.0025</f>
        <v>83.75</v>
      </c>
      <c r="E98" s="14">
        <v>33.5</v>
      </c>
      <c r="F98" s="14">
        <v>-1000</v>
      </c>
      <c r="G98" s="14"/>
      <c r="H98" s="71">
        <f>Table1[[#This Row],[Result]]/(E99*F99)</f>
        <v>8.054380664652569E-3</v>
      </c>
      <c r="I98" s="77">
        <f>DATEDIF(A99,A98,"d")-IF(DATEDIF(A99,A98,"d")+1&gt;=6,ROUNDDOWN(((DATEDIF(A99,A98,"d")+1)/7),0)*2,1)+1</f>
        <v>6</v>
      </c>
      <c r="J98" s="61">
        <f>-Table1[[#This Row],[Price]]*Table1[[#This Row],[Volume]]-E99*F99-Table1[[#This Row],[Commission]]-D99+I99</f>
        <v>266.60000000000002</v>
      </c>
      <c r="K98" s="45" t="s">
        <v>781</v>
      </c>
      <c r="L98" t="s">
        <v>756</v>
      </c>
      <c r="M98" s="29" t="s">
        <v>856</v>
      </c>
      <c r="N98" s="106" t="s">
        <v>857</v>
      </c>
      <c r="O98" s="34"/>
      <c r="P98" s="31"/>
      <c r="S98" s="2"/>
    </row>
    <row r="99" spans="1:19" x14ac:dyDescent="0.25">
      <c r="A99" s="43">
        <v>44476</v>
      </c>
      <c r="B99" s="14" t="s">
        <v>62</v>
      </c>
      <c r="C99" s="14" t="s">
        <v>776</v>
      </c>
      <c r="D99" s="16">
        <f>F99*E99*0.0015</f>
        <v>49.65</v>
      </c>
      <c r="E99" s="14">
        <v>33.1</v>
      </c>
      <c r="F99" s="14">
        <v>1000</v>
      </c>
      <c r="G99" s="14"/>
      <c r="H99" s="71"/>
      <c r="I99" s="67"/>
      <c r="J99" s="24">
        <f>(Table1[[#This Row],[Volume]]*Table1[[#This Row],[Price]]+Table1[[#This Row],[Commission]])</f>
        <v>33149.65</v>
      </c>
      <c r="K99" s="45"/>
      <c r="L99" t="s">
        <v>756</v>
      </c>
      <c r="M99" s="29" t="s">
        <v>844</v>
      </c>
      <c r="N99" s="106" t="s">
        <v>845</v>
      </c>
      <c r="O99" s="34"/>
      <c r="P99" s="31"/>
      <c r="S99" s="2"/>
    </row>
    <row r="100" spans="1:19" x14ac:dyDescent="0.25">
      <c r="A100" s="43">
        <v>44481</v>
      </c>
      <c r="B100" s="14" t="s">
        <v>90</v>
      </c>
      <c r="C100" s="14" t="s">
        <v>196</v>
      </c>
      <c r="D100" s="16">
        <f>-F100*E100*0.0025</f>
        <v>1825</v>
      </c>
      <c r="E100" s="14">
        <v>36.5</v>
      </c>
      <c r="F100" s="14">
        <v>-20000</v>
      </c>
      <c r="G100" s="14"/>
      <c r="H100" s="71">
        <f>Table1[[#This Row],[Result]]/(E101*F101)</f>
        <v>3.3835704125177807E-2</v>
      </c>
      <c r="I100" s="77">
        <f>DATEDIF(A101,A100,"d")-IF(DATEDIF(A101,A100,"d")+1&gt;=6,ROUNDDOWN(((DATEDIF(A101,A100,"d")+1)/7),0)*2,1)+1</f>
        <v>6</v>
      </c>
      <c r="J100" s="61">
        <f>-Table1[[#This Row],[Price]]*Table1[[#This Row],[Volume]]-E101*F101-Table1[[#This Row],[Commission]]-D101+I101</f>
        <v>23786.5</v>
      </c>
      <c r="K100" s="45" t="s">
        <v>777</v>
      </c>
      <c r="L100" t="s">
        <v>756</v>
      </c>
      <c r="M100" s="29" t="s">
        <v>839</v>
      </c>
      <c r="N100" s="106" t="s">
        <v>840</v>
      </c>
      <c r="O100" s="34"/>
      <c r="P100" s="31"/>
      <c r="S100" s="2"/>
    </row>
    <row r="101" spans="1:19" x14ac:dyDescent="0.25">
      <c r="A101" s="43">
        <v>44476</v>
      </c>
      <c r="B101" s="14" t="s">
        <v>62</v>
      </c>
      <c r="C101" s="14" t="s">
        <v>196</v>
      </c>
      <c r="D101" s="16">
        <f>F101*E101*0.0015</f>
        <v>1054.5</v>
      </c>
      <c r="E101" s="14">
        <v>35.15</v>
      </c>
      <c r="F101" s="14">
        <v>20000</v>
      </c>
      <c r="G101" s="14"/>
      <c r="H101" s="71"/>
      <c r="I101" s="67">
        <f>-112*3+2</f>
        <v>-334</v>
      </c>
      <c r="J101" s="24">
        <f>(Table1[[#This Row],[Volume]]*Table1[[#This Row],[Price]]+Table1[[#This Row],[Commission]])</f>
        <v>704054.5</v>
      </c>
      <c r="K101" s="45" t="s">
        <v>780</v>
      </c>
      <c r="L101" t="s">
        <v>756</v>
      </c>
      <c r="M101" s="29" t="s">
        <v>837</v>
      </c>
      <c r="N101" s="106" t="s">
        <v>838</v>
      </c>
      <c r="O101" s="34"/>
      <c r="P101" s="31"/>
      <c r="S101" s="2"/>
    </row>
    <row r="102" spans="1:19" x14ac:dyDescent="0.25">
      <c r="A102" s="43">
        <v>44468</v>
      </c>
      <c r="B102" s="14" t="s">
        <v>90</v>
      </c>
      <c r="C102" s="14" t="s">
        <v>199</v>
      </c>
      <c r="D102" s="16">
        <f>-F102*E102*0.0025</f>
        <v>90.875</v>
      </c>
      <c r="E102" s="14">
        <v>7.27</v>
      </c>
      <c r="F102" s="14">
        <v>-5000</v>
      </c>
      <c r="G102" s="14"/>
      <c r="H102" s="71">
        <f>Table1[[#This Row],[Result]]/(E103*F103)</f>
        <v>-0.15034683098591548</v>
      </c>
      <c r="I102" s="77">
        <f>DATEDIF(A103,A102,"d")-IF(DATEDIF(A103,A102,"d")+1&gt;=6,ROUNDDOWN(((DATEDIF(A103,A102,"d")+1)/7),0)*2,1)+1</f>
        <v>5</v>
      </c>
      <c r="J102" s="59">
        <f>-Table1[[#This Row],[Price]]*Table1[[#This Row],[Volume]]-E103*F103-Table1[[#This Row],[Commission]]-D103+I103</f>
        <v>-6404.7749999999996</v>
      </c>
      <c r="K102" s="45" t="s">
        <v>761</v>
      </c>
      <c r="L102" t="s">
        <v>756</v>
      </c>
      <c r="M102" s="29" t="s">
        <v>834</v>
      </c>
      <c r="N102" s="106" t="s">
        <v>835</v>
      </c>
      <c r="O102" s="34"/>
      <c r="P102" s="31"/>
      <c r="S102" s="2"/>
    </row>
    <row r="103" spans="1:19" x14ac:dyDescent="0.25">
      <c r="A103" s="43">
        <v>44462</v>
      </c>
      <c r="B103" s="14" t="s">
        <v>62</v>
      </c>
      <c r="C103" s="14" t="s">
        <v>199</v>
      </c>
      <c r="D103" s="16">
        <f>F103*E103*0.0015</f>
        <v>63.9</v>
      </c>
      <c r="E103" s="14">
        <v>8.52</v>
      </c>
      <c r="F103" s="14">
        <v>5000</v>
      </c>
      <c r="G103" s="14"/>
      <c r="H103" s="71"/>
      <c r="I103" s="67"/>
      <c r="J103" s="24">
        <f>(Table1[[#This Row],[Volume]]*Table1[[#This Row],[Price]]+Table1[[#This Row],[Commission]])</f>
        <v>42663.9</v>
      </c>
      <c r="K103" s="45"/>
      <c r="L103" t="s">
        <v>756</v>
      </c>
      <c r="M103" s="29" t="s">
        <v>831</v>
      </c>
      <c r="N103" s="106" t="s">
        <v>832</v>
      </c>
      <c r="O103" s="34"/>
      <c r="P103" s="31"/>
      <c r="S103" s="2"/>
    </row>
    <row r="104" spans="1:19" x14ac:dyDescent="0.25">
      <c r="A104" s="43">
        <v>44468</v>
      </c>
      <c r="B104" s="14" t="s">
        <v>90</v>
      </c>
      <c r="C104" s="14" t="s">
        <v>196</v>
      </c>
      <c r="D104" s="16">
        <f>-F104*E104*0.0025</f>
        <v>2796.5</v>
      </c>
      <c r="E104" s="14">
        <v>65.8</v>
      </c>
      <c r="F104" s="14">
        <v>-17000</v>
      </c>
      <c r="G104" s="14"/>
      <c r="H104" s="71">
        <f>Table1[[#This Row],[Result]]/(E105*F105)</f>
        <v>-1.6571983748454335E-2</v>
      </c>
      <c r="I104" s="77">
        <f>DATEDIF(A105,A104,"d")-IF(DATEDIF(A105,A104,"d")+1&gt;=6,ROUNDDOWN(((DATEDIF(A105,A104,"d")+1)/7),0)*2,1)+1</f>
        <v>5</v>
      </c>
      <c r="J104" s="59">
        <f>-Table1[[#This Row],[Price]]*Table1[[#This Row],[Volume]]-E105*F105-Table1[[#This Row],[Commission]]-D105+I105</f>
        <v>-18762.8</v>
      </c>
      <c r="K104" s="45" t="s">
        <v>762</v>
      </c>
      <c r="L104" t="s">
        <v>756</v>
      </c>
      <c r="M104" s="29" t="s">
        <v>829</v>
      </c>
      <c r="N104" s="106" t="s">
        <v>830</v>
      </c>
      <c r="O104" s="34"/>
      <c r="P104" s="31"/>
      <c r="S104" s="2"/>
    </row>
    <row r="105" spans="1:19" x14ac:dyDescent="0.25">
      <c r="A105" s="43">
        <v>44462</v>
      </c>
      <c r="B105" s="14" t="s">
        <v>62</v>
      </c>
      <c r="C105" s="14" t="s">
        <v>196</v>
      </c>
      <c r="D105" s="16">
        <f>F105*E105*0.0015</f>
        <v>1698.3</v>
      </c>
      <c r="E105" s="14">
        <v>66.599999999999994</v>
      </c>
      <c r="F105" s="14">
        <v>17000</v>
      </c>
      <c r="G105" s="14"/>
      <c r="H105" s="71"/>
      <c r="I105" s="67">
        <f>-167*4</f>
        <v>-668</v>
      </c>
      <c r="J105" s="24">
        <f>(Table1[[#This Row],[Volume]]*Table1[[#This Row],[Price]]+Table1[[#This Row],[Commission]])</f>
        <v>1133898.3</v>
      </c>
      <c r="K105" s="45"/>
      <c r="L105" t="s">
        <v>756</v>
      </c>
      <c r="M105" s="29" t="s">
        <v>827</v>
      </c>
      <c r="N105" s="106" t="s">
        <v>828</v>
      </c>
      <c r="O105" s="34"/>
      <c r="P105" s="31"/>
      <c r="S105" s="2"/>
    </row>
    <row r="106" spans="1:19" x14ac:dyDescent="0.25">
      <c r="A106" s="43">
        <v>44460</v>
      </c>
      <c r="B106" s="14" t="s">
        <v>90</v>
      </c>
      <c r="C106" s="14" t="s">
        <v>196</v>
      </c>
      <c r="D106" s="16">
        <f>-F106*E106*0.0025</f>
        <v>2868.75</v>
      </c>
      <c r="E106" s="14">
        <v>67.5</v>
      </c>
      <c r="F106" s="14">
        <v>-17000</v>
      </c>
      <c r="G106" s="14"/>
      <c r="H106" s="71">
        <f>Table1[[#This Row],[Result]]/(E107*F107)</f>
        <v>4.8721533516988061E-2</v>
      </c>
      <c r="I106" s="77">
        <f>DATEDIF(A107,A106,"d")-IF(DATEDIF(A107,A106,"d")+1&gt;=6,ROUNDDOWN(((DATEDIF(A107,A106,"d")+1)/7),0)*2,1)+1</f>
        <v>6</v>
      </c>
      <c r="J106" s="61">
        <f>-Table1[[#This Row],[Price]]*Table1[[#This Row],[Volume]]-E107*F107-Table1[[#This Row],[Commission]]-D107+I107</f>
        <v>53057.75</v>
      </c>
      <c r="K106" s="45" t="s">
        <v>758</v>
      </c>
      <c r="L106" t="s">
        <v>756</v>
      </c>
      <c r="M106" s="29" t="s">
        <v>823</v>
      </c>
      <c r="N106" s="106" t="s">
        <v>824</v>
      </c>
      <c r="O106" s="34"/>
      <c r="P106" s="31"/>
      <c r="S106" s="2"/>
    </row>
    <row r="107" spans="1:19" x14ac:dyDescent="0.25">
      <c r="A107" s="43">
        <v>44453</v>
      </c>
      <c r="B107" s="14" t="s">
        <v>62</v>
      </c>
      <c r="C107" s="14" t="s">
        <v>196</v>
      </c>
      <c r="D107" s="16">
        <f>F107*E107*0.0015</f>
        <v>1633.5</v>
      </c>
      <c r="E107" s="14">
        <f>(12*64+5*64.2)/17</f>
        <v>64.058823529411768</v>
      </c>
      <c r="F107" s="14">
        <v>17000</v>
      </c>
      <c r="G107" s="14"/>
      <c r="H107" s="71"/>
      <c r="I107" s="67">
        <v>-940</v>
      </c>
      <c r="J107" s="24">
        <f>(Table1[[#This Row],[Volume]]*Table1[[#This Row],[Price]]+Table1[[#This Row],[Commission]])</f>
        <v>1090633.5</v>
      </c>
      <c r="K107" s="45"/>
      <c r="L107" t="s">
        <v>756</v>
      </c>
      <c r="M107" s="29" t="s">
        <v>820</v>
      </c>
      <c r="N107" s="106" t="s">
        <v>821</v>
      </c>
      <c r="O107" s="34"/>
      <c r="P107" s="31"/>
      <c r="S107" s="2"/>
    </row>
    <row r="108" spans="1:19" x14ac:dyDescent="0.25">
      <c r="A108" s="43">
        <v>44452</v>
      </c>
      <c r="B108" s="14" t="s">
        <v>90</v>
      </c>
      <c r="C108" s="14" t="s">
        <v>196</v>
      </c>
      <c r="D108" s="16">
        <f>-F108*E108*0.0025</f>
        <v>2758.25</v>
      </c>
      <c r="E108" s="14">
        <v>64.900000000000006</v>
      </c>
      <c r="F108" s="14">
        <v>-17000</v>
      </c>
      <c r="G108" s="14"/>
      <c r="H108" s="71">
        <f>Table1[[#This Row],[Result]]/(E109*F109)</f>
        <v>4.0127273588480714E-2</v>
      </c>
      <c r="I108" s="77">
        <f>DATEDIF(A109,A108,"d")-IF(DATEDIF(A109,A108,"d")+1&gt;=6,ROUNDDOWN(((DATEDIF(A109,A108,"d")+1)/7),0)*2,1)+1</f>
        <v>11</v>
      </c>
      <c r="J108" s="61">
        <f>-Table1[[#This Row],[Price]]*Table1[[#This Row],[Volume]]-E109*F109-Table1[[#This Row],[Commission]]-D109+I109</f>
        <v>42358.350000000231</v>
      </c>
      <c r="K108" s="45" t="s">
        <v>744</v>
      </c>
      <c r="L108" t="s">
        <v>756</v>
      </c>
      <c r="M108" s="29" t="s">
        <v>818</v>
      </c>
      <c r="N108" s="106" t="s">
        <v>819</v>
      </c>
      <c r="O108" s="34"/>
      <c r="P108" s="31"/>
      <c r="S108" s="2"/>
    </row>
    <row r="109" spans="1:19" x14ac:dyDescent="0.25">
      <c r="A109" s="43">
        <v>44438</v>
      </c>
      <c r="B109" s="14" t="s">
        <v>62</v>
      </c>
      <c r="C109" s="14" t="s">
        <v>196</v>
      </c>
      <c r="D109" s="16">
        <f>F109*E109*0.0015</f>
        <v>1583.3999999999996</v>
      </c>
      <c r="E109" s="14">
        <f>(5*61.2+3.2*61.9+1.8*61.4+7*63)/17</f>
        <v>62.094117647058816</v>
      </c>
      <c r="F109" s="14">
        <v>17000</v>
      </c>
      <c r="G109" s="14"/>
      <c r="H109" s="71"/>
      <c r="I109" s="67">
        <v>-1000</v>
      </c>
      <c r="J109" s="24">
        <f>(Table1[[#This Row],[Volume]]*Table1[[#This Row],[Price]]+Table1[[#This Row],[Commission]])</f>
        <v>1057183.3999999997</v>
      </c>
      <c r="K109" s="45" t="s">
        <v>735</v>
      </c>
      <c r="L109" t="s">
        <v>756</v>
      </c>
      <c r="M109" s="29" t="s">
        <v>816</v>
      </c>
      <c r="N109" s="106" t="s">
        <v>817</v>
      </c>
      <c r="O109" s="34"/>
      <c r="P109" s="31"/>
      <c r="S109" s="2"/>
    </row>
    <row r="110" spans="1:19" x14ac:dyDescent="0.25">
      <c r="A110" s="43">
        <v>44426</v>
      </c>
      <c r="B110" s="14" t="s">
        <v>825</v>
      </c>
      <c r="C110" s="14" t="s">
        <v>657</v>
      </c>
      <c r="D110" s="16">
        <f>320+507+1500</f>
        <v>2327</v>
      </c>
      <c r="E110" s="14">
        <v>1489</v>
      </c>
      <c r="F110" s="14">
        <v>7</v>
      </c>
      <c r="G110" s="14"/>
      <c r="H110" s="97">
        <f>35/250</f>
        <v>0.14000000000000001</v>
      </c>
      <c r="I110" s="67"/>
      <c r="J110" s="105">
        <v>35000</v>
      </c>
      <c r="K110" s="45" t="s">
        <v>734</v>
      </c>
      <c r="L110" t="s">
        <v>756</v>
      </c>
      <c r="M110" s="29" t="s">
        <v>813</v>
      </c>
      <c r="N110" s="106" t="s">
        <v>814</v>
      </c>
      <c r="O110" s="34"/>
      <c r="P110" s="31"/>
      <c r="S110" s="2"/>
    </row>
    <row r="111" spans="1:19" x14ac:dyDescent="0.25">
      <c r="A111" s="43">
        <v>44420</v>
      </c>
      <c r="B111" s="14" t="s">
        <v>90</v>
      </c>
      <c r="C111" s="14" t="s">
        <v>713</v>
      </c>
      <c r="D111" s="16">
        <f>-F111*E111*0.0035</f>
        <v>323.75</v>
      </c>
      <c r="E111" s="14">
        <f>(46.2+46.3)/2</f>
        <v>46.25</v>
      </c>
      <c r="F111" s="14">
        <v>-2000</v>
      </c>
      <c r="G111" s="14"/>
      <c r="H111" s="71">
        <f>Table1[[#This Row],[Result]]/(E112*F112)</f>
        <v>4.0537938844846938E-2</v>
      </c>
      <c r="I111" s="77">
        <f>DATEDIF(A112,A111,"d")-IF(DATEDIF(A112,A111,"d")+1&gt;=6,ROUNDDOWN(((DATEDIF(A112,A111,"d")+1)/7),0)*2,1)+1</f>
        <v>3</v>
      </c>
      <c r="J111" s="61">
        <f>-Table1[[#This Row],[Price]]*Table1[[#This Row],[Volume]]-E112*F112-Table1[[#This Row],[Commission]]-D112+I112</f>
        <v>3579.4999999999854</v>
      </c>
      <c r="K111" s="45" t="s">
        <v>725</v>
      </c>
      <c r="L111" t="s">
        <v>756</v>
      </c>
      <c r="M111" s="29" t="s">
        <v>811</v>
      </c>
      <c r="N111" s="106" t="s">
        <v>812</v>
      </c>
      <c r="O111" s="34"/>
      <c r="P111" s="31"/>
      <c r="S111" s="2"/>
    </row>
    <row r="112" spans="1:19" x14ac:dyDescent="0.25">
      <c r="A112" s="43">
        <v>44417</v>
      </c>
      <c r="B112" s="14" t="s">
        <v>62</v>
      </c>
      <c r="C112" s="14" t="s">
        <v>713</v>
      </c>
      <c r="D112" s="16">
        <f>F112*E112*0.0025</f>
        <v>220.75000000000003</v>
      </c>
      <c r="E112" s="14">
        <f>(43.2+1*45.1+0*32)/2</f>
        <v>44.150000000000006</v>
      </c>
      <c r="F112" s="14">
        <v>2000</v>
      </c>
      <c r="G112" s="14"/>
      <c r="H112" s="71"/>
      <c r="I112" s="67">
        <v>-76</v>
      </c>
      <c r="J112" s="24">
        <f>(Table1[[#This Row],[Volume]]*Table1[[#This Row],[Price]]+Table1[[#This Row],[Commission]])</f>
        <v>88520.750000000015</v>
      </c>
      <c r="K112" s="45" t="s">
        <v>723</v>
      </c>
      <c r="L112" t="s">
        <v>756</v>
      </c>
      <c r="M112" s="29" t="s">
        <v>809</v>
      </c>
      <c r="N112" s="106" t="s">
        <v>810</v>
      </c>
      <c r="O112" s="34"/>
      <c r="P112" s="31"/>
      <c r="S112" s="2"/>
    </row>
    <row r="113" spans="1:19" x14ac:dyDescent="0.25">
      <c r="A113" s="43">
        <f>A114+3</f>
        <v>44407</v>
      </c>
      <c r="B113" s="14" t="s">
        <v>90</v>
      </c>
      <c r="C113" s="14" t="s">
        <v>206</v>
      </c>
      <c r="D113" s="16">
        <f>-F113*E113*0.0035</f>
        <v>66.9375</v>
      </c>
      <c r="E113" s="14">
        <v>38.25</v>
      </c>
      <c r="F113" s="14">
        <v>-500</v>
      </c>
      <c r="G113" s="14"/>
      <c r="H113" s="71">
        <f>Table1[[#This Row],[Result]]/(E114*F114)</f>
        <v>4.6086657496561212E-2</v>
      </c>
      <c r="I113" s="77">
        <f>DATEDIF(A114,A113,"d")-IF(DATEDIF(A114,A113,"d")+1&gt;=6,ROUNDDOWN(((DATEDIF(A114,A113,"d")+1)/7),0)*2,1)+1</f>
        <v>3</v>
      </c>
      <c r="J113" s="61">
        <f>-Table1[[#This Row],[Price]]*Table1[[#This Row],[Volume]]-E114*F114-Table1[[#This Row],[Commission]]-D114</f>
        <v>837.625</v>
      </c>
      <c r="K113" s="45" t="s">
        <v>718</v>
      </c>
      <c r="L113" t="s">
        <v>756</v>
      </c>
      <c r="M113" s="29" t="s">
        <v>806</v>
      </c>
      <c r="N113" s="106" t="s">
        <v>807</v>
      </c>
      <c r="O113" s="34"/>
      <c r="P113" s="31"/>
      <c r="S113" s="2"/>
    </row>
    <row r="114" spans="1:19" x14ac:dyDescent="0.25">
      <c r="A114" s="43">
        <v>44404</v>
      </c>
      <c r="B114" s="14" t="s">
        <v>62</v>
      </c>
      <c r="C114" s="14" t="s">
        <v>206</v>
      </c>
      <c r="D114" s="16">
        <f>F114*E114*0.0025</f>
        <v>45.4375</v>
      </c>
      <c r="E114" s="14">
        <v>36.35</v>
      </c>
      <c r="F114" s="14">
        <v>500</v>
      </c>
      <c r="G114" s="14"/>
      <c r="H114" s="71"/>
      <c r="I114" s="67"/>
      <c r="J114" s="24">
        <f>(Table1[[#This Row],[Volume]]*Table1[[#This Row],[Price]]+Table1[[#This Row],[Commission]])</f>
        <v>18220.4375</v>
      </c>
      <c r="K114" s="45" t="s">
        <v>717</v>
      </c>
      <c r="L114" t="s">
        <v>756</v>
      </c>
      <c r="M114" s="29" t="s">
        <v>801</v>
      </c>
      <c r="N114" s="106" t="s">
        <v>802</v>
      </c>
      <c r="O114" s="34"/>
      <c r="P114" s="31"/>
      <c r="S114" s="2"/>
    </row>
    <row r="115" spans="1:19" x14ac:dyDescent="0.25">
      <c r="A115" s="43">
        <v>44397</v>
      </c>
      <c r="B115" s="14" t="s">
        <v>90</v>
      </c>
      <c r="C115" s="14" t="s">
        <v>207</v>
      </c>
      <c r="D115" s="16">
        <f>-F115*E115*0.0035</f>
        <v>434.875</v>
      </c>
      <c r="E115" s="14">
        <f>(3000*31.3+1000*30.35)/4000</f>
        <v>31.0625</v>
      </c>
      <c r="F115" s="14">
        <v>-4000</v>
      </c>
      <c r="G115" s="14"/>
      <c r="H115" s="71">
        <f>Table1[[#This Row],[Result]]/(E116*F116)</f>
        <v>-6.2514258555133081E-2</v>
      </c>
      <c r="I115" s="77">
        <f>DATEDIF(A116,A115,"d")-IF(DATEDIF(A116,A115,"d")+1&gt;=6,ROUNDDOWN(((DATEDIF(A116,A115,"d")+1)/7),0)*2,1)+1</f>
        <v>5</v>
      </c>
      <c r="J115" s="59">
        <f>-Table1[[#This Row],[Price]]*Table1[[#This Row],[Volume]]-E116*F116-Table1[[#This Row],[Commission]]-D116+I116</f>
        <v>-8220.625</v>
      </c>
      <c r="K115" s="45" t="s">
        <v>707</v>
      </c>
      <c r="L115" t="s">
        <v>756</v>
      </c>
      <c r="M115" s="29" t="s">
        <v>799</v>
      </c>
      <c r="N115" s="106" t="s">
        <v>800</v>
      </c>
      <c r="O115" s="34"/>
      <c r="P115" s="31"/>
      <c r="S115" s="2"/>
    </row>
    <row r="116" spans="1:19" x14ac:dyDescent="0.25">
      <c r="A116" s="43">
        <v>44391</v>
      </c>
      <c r="B116" s="14" t="s">
        <v>62</v>
      </c>
      <c r="C116" s="14" t="s">
        <v>207</v>
      </c>
      <c r="D116" s="16">
        <f>F116*E116*0.0025</f>
        <v>328.75</v>
      </c>
      <c r="E116" s="14">
        <f>((2000*32.95)+(1000*32.7)+(1000*32.9))/4000</f>
        <v>32.875</v>
      </c>
      <c r="F116" s="14">
        <v>4000</v>
      </c>
      <c r="G116" s="14"/>
      <c r="H116" s="71"/>
      <c r="I116" s="67">
        <v>-207</v>
      </c>
      <c r="J116" s="24">
        <f>(Table1[[#This Row],[Volume]]*Table1[[#This Row],[Price]]+Table1[[#This Row],[Commission]])</f>
        <v>131828.75</v>
      </c>
      <c r="K116" s="45" t="s">
        <v>705</v>
      </c>
      <c r="L116" t="s">
        <v>756</v>
      </c>
      <c r="M116" s="29" t="s">
        <v>797</v>
      </c>
      <c r="N116" s="106" t="s">
        <v>798</v>
      </c>
      <c r="O116" s="34"/>
      <c r="P116" s="31"/>
      <c r="S116" s="2"/>
    </row>
    <row r="117" spans="1:19" x14ac:dyDescent="0.25">
      <c r="A117" s="43">
        <v>44391</v>
      </c>
      <c r="B117" s="14" t="s">
        <v>90</v>
      </c>
      <c r="C117" s="14" t="s">
        <v>690</v>
      </c>
      <c r="D117" s="16">
        <f>-F117*E117*0.0035</f>
        <v>47.25</v>
      </c>
      <c r="E117" s="14">
        <v>27</v>
      </c>
      <c r="F117" s="14">
        <v>-500</v>
      </c>
      <c r="G117" s="14"/>
      <c r="H117" s="71">
        <f>Table1[[#This Row],[Result]]/(E118*F118)</f>
        <v>-0.10564999999999999</v>
      </c>
      <c r="I117" s="77">
        <f>DATEDIF(A118,A117,"d")-IF(DATEDIF(A118,A117,"d")+1&gt;=6,ROUNDDOWN(((DATEDIF(A118,A117,"d")+1)/7),0)*2,1)+1</f>
        <v>6</v>
      </c>
      <c r="J117" s="59">
        <f>-Table1[[#This Row],[Price]]*Table1[[#This Row],[Volume]]-E118*F118-Table1[[#This Row],[Commission]]-D118+I118</f>
        <v>-1584.75</v>
      </c>
      <c r="K117" s="45" t="s">
        <v>700</v>
      </c>
      <c r="L117" t="s">
        <v>756</v>
      </c>
      <c r="M117" s="29" t="s">
        <v>794</v>
      </c>
      <c r="N117" s="106" t="s">
        <v>795</v>
      </c>
      <c r="O117" s="34"/>
      <c r="P117" s="31"/>
      <c r="S117" s="2"/>
    </row>
    <row r="118" spans="1:19" x14ac:dyDescent="0.25">
      <c r="A118" s="43">
        <v>44384</v>
      </c>
      <c r="B118" s="14" t="s">
        <v>62</v>
      </c>
      <c r="C118" s="14" t="s">
        <v>690</v>
      </c>
      <c r="D118" s="16">
        <f>F118*E118*0.0025</f>
        <v>37.5</v>
      </c>
      <c r="E118" s="14">
        <v>30</v>
      </c>
      <c r="F118" s="14">
        <v>500</v>
      </c>
      <c r="G118" s="14"/>
      <c r="H118" s="71"/>
      <c r="I118" s="67"/>
      <c r="J118" s="24">
        <f>(Table1[[#This Row],[Volume]]*Table1[[#This Row],[Price]]+Table1[[#This Row],[Commission]])</f>
        <v>15037.5</v>
      </c>
      <c r="K118" s="45" t="s">
        <v>706</v>
      </c>
      <c r="L118" t="s">
        <v>756</v>
      </c>
      <c r="M118" s="29" t="s">
        <v>792</v>
      </c>
      <c r="N118" s="106" t="s">
        <v>793</v>
      </c>
      <c r="O118" s="34"/>
      <c r="P118" s="31"/>
      <c r="S118" s="2"/>
    </row>
    <row r="119" spans="1:19" x14ac:dyDescent="0.25">
      <c r="A119" s="43">
        <v>44379</v>
      </c>
      <c r="B119" s="14" t="s">
        <v>90</v>
      </c>
      <c r="C119" s="14" t="s">
        <v>690</v>
      </c>
      <c r="D119" s="16">
        <f>-F119*E119*0.0035</f>
        <v>593.25</v>
      </c>
      <c r="E119" s="14">
        <v>33.9</v>
      </c>
      <c r="F119" s="14">
        <v>-5000</v>
      </c>
      <c r="G119" s="14"/>
      <c r="H119" s="71">
        <f>Table1[[#This Row],[Result]]/(E120*F120)</f>
        <v>7.3078025477707004E-2</v>
      </c>
      <c r="I119" s="77">
        <f>DATEDIF(A120,A119,"d")-IF(DATEDIF(A120,A119,"d")+1&gt;=6,ROUNDDOWN(((DATEDIF(A120,A119,"d")+1)/7),0)*2,1)+1</f>
        <v>4</v>
      </c>
      <c r="J119" s="61">
        <f>-Table1[[#This Row],[Price]]*Table1[[#This Row],[Volume]]-E120*F120-Table1[[#This Row],[Commission]]-D120+I120</f>
        <v>11473.25</v>
      </c>
      <c r="K119" s="45" t="s">
        <v>693</v>
      </c>
      <c r="L119" t="s">
        <v>756</v>
      </c>
      <c r="M119" s="29" t="s">
        <v>790</v>
      </c>
      <c r="N119" s="106" t="s">
        <v>791</v>
      </c>
      <c r="O119" s="34"/>
      <c r="P119" s="31"/>
      <c r="S119" s="2"/>
    </row>
    <row r="120" spans="1:19" x14ac:dyDescent="0.25">
      <c r="A120" s="43">
        <v>44375</v>
      </c>
      <c r="B120" s="14" t="s">
        <v>62</v>
      </c>
      <c r="C120" s="14" t="s">
        <v>690</v>
      </c>
      <c r="D120" s="16">
        <f>F120*E120*0.0025</f>
        <v>392.5</v>
      </c>
      <c r="E120" s="14">
        <v>31.4</v>
      </c>
      <c r="F120" s="14">
        <v>5000</v>
      </c>
      <c r="G120" s="14"/>
      <c r="H120" s="71"/>
      <c r="I120" s="67">
        <f>-41</f>
        <v>-41</v>
      </c>
      <c r="J120" s="24">
        <f>(Table1[[#This Row],[Volume]]*Table1[[#This Row],[Price]]+Table1[[#This Row],[Commission]])</f>
        <v>157392.5</v>
      </c>
      <c r="K120" s="45" t="s">
        <v>692</v>
      </c>
      <c r="L120" t="s">
        <v>756</v>
      </c>
      <c r="M120" s="29" t="s">
        <v>788</v>
      </c>
      <c r="N120" s="106" t="s">
        <v>789</v>
      </c>
      <c r="O120" s="34"/>
      <c r="P120" s="31"/>
      <c r="S120" s="2"/>
    </row>
    <row r="121" spans="1:19" x14ac:dyDescent="0.25">
      <c r="A121" s="43">
        <v>44370</v>
      </c>
      <c r="B121" s="14" t="s">
        <v>62</v>
      </c>
      <c r="C121" s="14" t="s">
        <v>657</v>
      </c>
      <c r="D121" s="16">
        <f>5.5+10+24.816+17.5+15+37.3+5.5</f>
        <v>115.616</v>
      </c>
      <c r="E121" s="14">
        <v>1484</v>
      </c>
      <c r="F121" s="14">
        <v>-1</v>
      </c>
      <c r="G121" s="14"/>
      <c r="H121" s="71">
        <f>ROUNDUP(Table1[[#This Row],[Result]]/258480,2)</f>
        <v>0.01</v>
      </c>
      <c r="I121" s="77">
        <f>DATEDIF(A122,A121,"d")-IF(DATEDIF(A122,A121,"d")+1&gt;=6,ROUNDDOWN(((DATEDIF(A122,A121,"d")+1)/7),0)*2,1)+1</f>
        <v>1</v>
      </c>
      <c r="J121" s="61">
        <v>1121</v>
      </c>
      <c r="K121" s="45"/>
      <c r="L121" t="s">
        <v>756</v>
      </c>
      <c r="M121" s="29" t="s">
        <v>785</v>
      </c>
      <c r="N121" s="106" t="s">
        <v>786</v>
      </c>
      <c r="O121" s="34"/>
      <c r="P121" s="31"/>
      <c r="S121" s="2"/>
    </row>
    <row r="122" spans="1:19" x14ac:dyDescent="0.25">
      <c r="A122" s="43">
        <v>44369</v>
      </c>
      <c r="B122" s="14" t="s">
        <v>90</v>
      </c>
      <c r="C122" s="14" t="s">
        <v>657</v>
      </c>
      <c r="D122" s="16"/>
      <c r="E122" s="14">
        <v>1488</v>
      </c>
      <c r="F122" s="14">
        <v>1</v>
      </c>
      <c r="G122" s="14"/>
      <c r="H122" s="71"/>
      <c r="I122" s="67"/>
      <c r="J122" s="24"/>
      <c r="K122" s="96" t="s">
        <v>685</v>
      </c>
      <c r="L122" t="s">
        <v>756</v>
      </c>
      <c r="M122" s="29" t="s">
        <v>782</v>
      </c>
      <c r="N122" s="106" t="s">
        <v>783</v>
      </c>
      <c r="P122" s="31"/>
      <c r="S122" s="2"/>
    </row>
    <row r="123" spans="1:19" x14ac:dyDescent="0.25">
      <c r="A123" s="43">
        <v>44397</v>
      </c>
      <c r="B123" s="14" t="s">
        <v>90</v>
      </c>
      <c r="C123" s="14" t="s">
        <v>677</v>
      </c>
      <c r="D123" s="16">
        <f>-F123*E123*0.0035</f>
        <v>164.5</v>
      </c>
      <c r="E123" s="14">
        <v>47</v>
      </c>
      <c r="F123" s="14">
        <v>-1000</v>
      </c>
      <c r="G123" s="14"/>
      <c r="H123" s="71">
        <f>Table1[[#This Row],[Result]]/(E124*F124)</f>
        <v>-6.9521912350597612E-2</v>
      </c>
      <c r="I123" s="77">
        <f>DATEDIF(A124,A123,"d")-IF(DATEDIF(A124,A123,"d")+1&gt;=6,ROUNDDOWN(((DATEDIF(A124,A123,"d")+1)/7),0)*2,1)+1</f>
        <v>25</v>
      </c>
      <c r="J123" s="59">
        <f>-Table1[[#This Row],[Price]]*Table1[[#This Row],[Volume]]-E124*F124-Table1[[#This Row],[Commission]]-D124</f>
        <v>-3490</v>
      </c>
      <c r="K123" s="45"/>
      <c r="L123" t="s">
        <v>756</v>
      </c>
      <c r="M123" s="29" t="s">
        <v>778</v>
      </c>
      <c r="N123" s="34" t="s">
        <v>779</v>
      </c>
      <c r="O123" s="34"/>
      <c r="P123" s="31"/>
      <c r="S123" s="2"/>
    </row>
    <row r="124" spans="1:19" x14ac:dyDescent="0.25">
      <c r="A124" s="43">
        <v>44363</v>
      </c>
      <c r="B124" s="14" t="s">
        <v>62</v>
      </c>
      <c r="C124" s="14" t="s">
        <v>677</v>
      </c>
      <c r="D124" s="16">
        <f>F124*E124*0.0025</f>
        <v>125.5</v>
      </c>
      <c r="E124" s="14">
        <f>100.4/2</f>
        <v>50.2</v>
      </c>
      <c r="F124" s="14">
        <v>1000</v>
      </c>
      <c r="G124" s="14"/>
      <c r="H124" s="71"/>
      <c r="I124" s="67"/>
      <c r="J124" s="24">
        <f>(Table1[[#This Row],[Volume]]*Table1[[#This Row],[Price]]+Table1[[#This Row],[Commission]])</f>
        <v>50325.5</v>
      </c>
      <c r="K124" s="45" t="s">
        <v>678</v>
      </c>
      <c r="L124" t="s">
        <v>756</v>
      </c>
      <c r="M124" s="29" t="s">
        <v>774</v>
      </c>
      <c r="N124" s="34" t="s">
        <v>775</v>
      </c>
      <c r="O124" s="34"/>
      <c r="P124" s="31"/>
      <c r="S124" s="2"/>
    </row>
    <row r="125" spans="1:19" x14ac:dyDescent="0.25">
      <c r="A125" s="43">
        <v>44368</v>
      </c>
      <c r="B125" s="14" t="s">
        <v>90</v>
      </c>
      <c r="C125" s="14" t="s">
        <v>677</v>
      </c>
      <c r="D125" s="16">
        <f>-F125*E125*0.0035</f>
        <v>184.625</v>
      </c>
      <c r="E125" s="14">
        <f>(500*53+500*52.5)/1000</f>
        <v>52.75</v>
      </c>
      <c r="F125" s="14">
        <v>-1000</v>
      </c>
      <c r="G125" s="14"/>
      <c r="H125" s="71">
        <f>Table1[[#This Row],[Result]]/(E126*F126)</f>
        <v>4.4619023904382472E-2</v>
      </c>
      <c r="I125" s="77">
        <f>DATEDIF(A126,A125,"d")-IF(DATEDIF(A126,A125,"d")+1&gt;=6,ROUNDDOWN(((DATEDIF(A126,A125,"d")+1)/7),0)*2,1)+1</f>
        <v>6</v>
      </c>
      <c r="J125" s="61">
        <f>-Table1[[#This Row],[Price]]*Table1[[#This Row],[Volume]]-E126*F126-Table1[[#This Row],[Commission]]-D126</f>
        <v>2239.875</v>
      </c>
      <c r="K125" s="45" t="s">
        <v>686</v>
      </c>
      <c r="L125" t="s">
        <v>756</v>
      </c>
      <c r="M125" s="29" t="s">
        <v>771</v>
      </c>
      <c r="N125" s="34" t="s">
        <v>772</v>
      </c>
      <c r="O125" s="34"/>
      <c r="P125" s="31"/>
      <c r="S125" s="2"/>
    </row>
    <row r="126" spans="1:19" x14ac:dyDescent="0.2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679</v>
      </c>
      <c r="L126" t="s">
        <v>756</v>
      </c>
      <c r="M126" s="29" t="s">
        <v>766</v>
      </c>
      <c r="N126" s="34" t="s">
        <v>767</v>
      </c>
      <c r="O126" s="34"/>
      <c r="P126" s="31"/>
      <c r="S126" s="2"/>
    </row>
    <row r="127" spans="1:19" x14ac:dyDescent="0.25">
      <c r="A127" s="43">
        <v>44425</v>
      </c>
      <c r="B127" s="14" t="s">
        <v>90</v>
      </c>
      <c r="C127" s="14" t="s">
        <v>330</v>
      </c>
      <c r="D127" s="16">
        <f>-F127*E127*0.0035</f>
        <v>1466.15</v>
      </c>
      <c r="E127" s="14">
        <f>(5*52.4+3*52.3)/8</f>
        <v>52.362499999999997</v>
      </c>
      <c r="F127" s="14">
        <v>-8000</v>
      </c>
      <c r="G127" s="14"/>
      <c r="H127" s="71">
        <f>Table1[[#This Row],[Result]]/(E128*F128)</f>
        <v>0.5077527134587555</v>
      </c>
      <c r="I127" s="77">
        <f>DATEDIF(A128,A127,"d")-IF(DATEDIF(A128,A127,"d")+1&gt;=6,ROUNDDOWN(((DATEDIF(A128,A127,"d")+1)/7),0)*2,1)+1</f>
        <v>50</v>
      </c>
      <c r="J127" s="61">
        <f>-Table1[[#This Row],[Price]]*Table1[[#This Row],[Volume]]-E128*F128-Table1[[#This Row],[Commission]]-D128</f>
        <v>140342.85</v>
      </c>
      <c r="K127" s="45" t="s">
        <v>731</v>
      </c>
      <c r="L127" t="s">
        <v>756</v>
      </c>
      <c r="M127" s="29" t="s">
        <v>763</v>
      </c>
      <c r="N127" s="106" t="s">
        <v>764</v>
      </c>
      <c r="O127" s="34"/>
      <c r="P127" s="31"/>
      <c r="S127" s="2"/>
    </row>
    <row r="128" spans="1:19" x14ac:dyDescent="0.25">
      <c r="A128" s="43">
        <v>44356</v>
      </c>
      <c r="B128" s="14" t="s">
        <v>62</v>
      </c>
      <c r="C128" s="14" t="s">
        <v>330</v>
      </c>
      <c r="D128" s="16">
        <f>F128*E128*0.0025</f>
        <v>691</v>
      </c>
      <c r="E128" s="14">
        <f>(54.6+14.5)/2</f>
        <v>34.549999999999997</v>
      </c>
      <c r="F128" s="14">
        <v>8000</v>
      </c>
      <c r="G128" s="14"/>
      <c r="H128" s="71"/>
      <c r="I128" s="67"/>
      <c r="J128" s="24">
        <f>(Table1[[#This Row],[Volume]]*Table1[[#This Row],[Price]]+Table1[[#This Row],[Commission]])</f>
        <v>277091</v>
      </c>
      <c r="K128" s="45" t="s">
        <v>668</v>
      </c>
      <c r="L128" t="s">
        <v>756</v>
      </c>
      <c r="M128" s="29" t="s">
        <v>759</v>
      </c>
      <c r="N128" s="34" t="s">
        <v>760</v>
      </c>
      <c r="O128" s="34"/>
      <c r="P128" s="31"/>
      <c r="S128" s="2"/>
    </row>
    <row r="129" spans="1:19" x14ac:dyDescent="0.25">
      <c r="A129" s="43">
        <v>44362</v>
      </c>
      <c r="B129" s="14" t="s">
        <v>90</v>
      </c>
      <c r="C129" s="14" t="s">
        <v>330</v>
      </c>
      <c r="D129" s="16">
        <f>-F129*E129*0.0035</f>
        <v>1229.2</v>
      </c>
      <c r="E129" s="14">
        <f>(4000*43.1+4000*44.7)/8000</f>
        <v>43.9</v>
      </c>
      <c r="F129" s="14">
        <v>-8000</v>
      </c>
      <c r="G129" s="14"/>
      <c r="H129" s="71">
        <f>Table1[[#This Row],[Result]]/(E130*F130)</f>
        <v>0.26240882778581764</v>
      </c>
      <c r="I129" s="77">
        <f>DATEDIF(A130,A129,"d")-IF(DATEDIF(A130,A129,"d")+1&gt;=6,ROUNDDOWN(((DATEDIF(A130,A129,"d")+1)/7),0)*2,1)+1</f>
        <v>5</v>
      </c>
      <c r="J129" s="61">
        <f>-Table1[[#This Row],[Price]]*Table1[[#This Row],[Volume]]-E130*F130-Table1[[#This Row],[Commission]]-D130+I130</f>
        <v>72529.8</v>
      </c>
      <c r="K129" s="45" t="s">
        <v>672</v>
      </c>
      <c r="L129" t="s">
        <v>756</v>
      </c>
      <c r="M129" s="33" t="s">
        <v>754</v>
      </c>
      <c r="N129" s="34" t="s">
        <v>757</v>
      </c>
      <c r="O129" s="34"/>
      <c r="P129" s="31"/>
      <c r="S129" s="2"/>
    </row>
    <row r="130" spans="1:19" x14ac:dyDescent="0.25">
      <c r="A130" s="43">
        <v>44356</v>
      </c>
      <c r="B130" s="14" t="s">
        <v>62</v>
      </c>
      <c r="C130" s="14" t="s">
        <v>330</v>
      </c>
      <c r="D130" s="16">
        <f>F130*E130*0.0025</f>
        <v>691</v>
      </c>
      <c r="E130" s="14">
        <f>(54.6+14.5)/2</f>
        <v>34.549999999999997</v>
      </c>
      <c r="F130" s="14">
        <v>8000</v>
      </c>
      <c r="G130" s="14"/>
      <c r="H130" s="71"/>
      <c r="I130" s="67">
        <f>-280-70</f>
        <v>-350</v>
      </c>
      <c r="J130" s="24">
        <f>(Table1[[#This Row],[Volume]]*Table1[[#This Row],[Price]]+Table1[[#This Row],[Commission]])</f>
        <v>277091</v>
      </c>
      <c r="K130" s="45" t="s">
        <v>667</v>
      </c>
      <c r="L130" t="s">
        <v>756</v>
      </c>
      <c r="M130" s="33" t="s">
        <v>751</v>
      </c>
      <c r="N130" s="34" t="s">
        <v>753</v>
      </c>
      <c r="O130" s="34"/>
      <c r="P130" s="31"/>
      <c r="S130" s="2"/>
    </row>
    <row r="131" spans="1:19" x14ac:dyDescent="0.25">
      <c r="A131" s="43">
        <v>44349</v>
      </c>
      <c r="B131" s="14" t="s">
        <v>90</v>
      </c>
      <c r="C131" s="14" t="s">
        <v>657</v>
      </c>
      <c r="D131" s="16">
        <f>173.33+90+221.583+500+320</f>
        <v>1304.913</v>
      </c>
      <c r="E131" s="14">
        <v>1484</v>
      </c>
      <c r="F131" s="14">
        <v>-5</v>
      </c>
      <c r="G131" s="14"/>
      <c r="H131" s="71">
        <f>ROUNDUP(Table1[[#This Row],[Result]]/258480,2)</f>
        <v>0.04</v>
      </c>
      <c r="I131" s="77">
        <f>DATEDIF(A132,A131,"d")-IF(DATEDIF(A132,A131,"d")+1&gt;=6,ROUNDDOWN(((DATEDIF(A132,A131,"d")+1)/7),0)*2,1)+1</f>
        <v>0</v>
      </c>
      <c r="J131" s="61">
        <f>-12379+21500</f>
        <v>9121</v>
      </c>
      <c r="K131" s="45" t="s">
        <v>658</v>
      </c>
      <c r="L131" t="s">
        <v>756</v>
      </c>
      <c r="M131" s="33" t="s">
        <v>750</v>
      </c>
      <c r="N131" s="34" t="s">
        <v>752</v>
      </c>
      <c r="O131" s="34"/>
      <c r="P131" s="31"/>
      <c r="S131" s="2">
        <f>ROUNDDOWN(39.6*1.1,1)</f>
        <v>43.5</v>
      </c>
    </row>
    <row r="132" spans="1:19" x14ac:dyDescent="0.25">
      <c r="A132" s="43">
        <v>44349</v>
      </c>
      <c r="B132" s="14" t="s">
        <v>62</v>
      </c>
      <c r="C132" s="14" t="s">
        <v>657</v>
      </c>
      <c r="D132" s="16"/>
      <c r="E132" s="14">
        <v>1480</v>
      </c>
      <c r="F132" s="14">
        <v>5</v>
      </c>
      <c r="G132" s="14"/>
      <c r="H132" s="71"/>
      <c r="I132" s="67"/>
      <c r="J132" s="24">
        <f>742000/1000</f>
        <v>742</v>
      </c>
      <c r="K132" s="96" t="s">
        <v>961</v>
      </c>
      <c r="L132" t="s">
        <v>756</v>
      </c>
      <c r="M132" s="33" t="s">
        <v>748</v>
      </c>
      <c r="N132" s="34" t="s">
        <v>749</v>
      </c>
      <c r="O132" s="34"/>
      <c r="P132" s="31"/>
      <c r="S132" s="2"/>
    </row>
    <row r="133" spans="1:19" x14ac:dyDescent="0.25">
      <c r="A133" s="43">
        <v>44347</v>
      </c>
      <c r="B133" s="14" t="s">
        <v>90</v>
      </c>
      <c r="C133" s="14" t="s">
        <v>616</v>
      </c>
      <c r="D133" s="16">
        <f>-F133*E133*0.0035</f>
        <v>1694.7</v>
      </c>
      <c r="E133" s="14">
        <v>26.9</v>
      </c>
      <c r="F133" s="14">
        <f>-9100-5900-1000-0-1000-1000</f>
        <v>-18000</v>
      </c>
      <c r="G133" s="14">
        <f>6000</f>
        <v>6000</v>
      </c>
      <c r="H133" s="71">
        <f>Table1[[#This Row],[Result]]/(E134*F134)</f>
        <v>2.9303098732906788E-3</v>
      </c>
      <c r="I133" s="69">
        <f>DATEDIF(A134,A133,"d")-IF(DATEDIF(A134,A133,"d")&gt;7,ROUNDDOWN((DATEDIF(A134,A133,"d")/7),0)*2,1)+1</f>
        <v>25</v>
      </c>
      <c r="J133" s="61">
        <f>-Table1[[#This Row],[Price]]*Table1[[#This Row],[Volume]]-E134*F134-Table1[[#This Row],[Commission]]-D134-I134</f>
        <v>1401.45</v>
      </c>
      <c r="K133" s="45" t="s">
        <v>649</v>
      </c>
      <c r="L133" t="s">
        <v>756</v>
      </c>
      <c r="M133" s="33" t="s">
        <v>745</v>
      </c>
      <c r="N133" s="34" t="s">
        <v>746</v>
      </c>
      <c r="O133" s="34"/>
      <c r="P133" s="31"/>
      <c r="S133" s="2"/>
    </row>
    <row r="134" spans="1:19" x14ac:dyDescent="0.25">
      <c r="A134" s="43">
        <v>44315</v>
      </c>
      <c r="B134" s="14" t="s">
        <v>62</v>
      </c>
      <c r="C134" s="14" t="s">
        <v>616</v>
      </c>
      <c r="D134" s="16">
        <f>F134*E134*0.0025</f>
        <v>1195.6500000000001</v>
      </c>
      <c r="E134" s="14">
        <f>ROUNDUP((26.8*9100+5900*26.9+1000*25.65+1000*25.15+1000*24.85+0*12)/(16000+0+1000+1000),2)</f>
        <v>26.57</v>
      </c>
      <c r="F134" s="14">
        <f>9100+5900+1000+0+1000+1000</f>
        <v>18000</v>
      </c>
      <c r="G134" s="14"/>
      <c r="H134" s="71"/>
      <c r="I134" s="100">
        <f>1405+74.2*1+169</f>
        <v>1648.2</v>
      </c>
      <c r="J134" s="24">
        <f>(Table1[[#This Row],[Volume]]*Table1[[#This Row],[Price]]+Table1[[#This Row],[Commission]])</f>
        <v>479455.65</v>
      </c>
      <c r="K134" s="95" t="s">
        <v>623</v>
      </c>
      <c r="L134" t="s">
        <v>756</v>
      </c>
      <c r="M134" s="33" t="s">
        <v>742</v>
      </c>
      <c r="N134" s="34" t="s">
        <v>743</v>
      </c>
      <c r="O134" s="34"/>
      <c r="P134" s="31"/>
      <c r="S134" s="2"/>
    </row>
    <row r="135" spans="1:19" x14ac:dyDescent="0.25">
      <c r="A135" s="43">
        <v>44312</v>
      </c>
      <c r="B135" s="14" t="s">
        <v>90</v>
      </c>
      <c r="C135" s="14" t="s">
        <v>401</v>
      </c>
      <c r="D135" s="16">
        <f>-F135*E135*0.0035</f>
        <v>839.30000000000007</v>
      </c>
      <c r="E135" s="14">
        <v>22</v>
      </c>
      <c r="F135" s="14">
        <v>-10900</v>
      </c>
      <c r="G135" s="14"/>
      <c r="H135" s="71">
        <f>Table1[[#This Row],[Result]]/(E136*F136)</f>
        <v>-0.15605212355212356</v>
      </c>
      <c r="I135" s="77">
        <f>DATEDIF(A136,A135,"d")-IF(DATEDIF(A136,A135,"d")+1&gt;=6,ROUNDDOWN(((DATEDIF(A136,A135,"d")+1)/7),0)*2,1)+1</f>
        <v>30</v>
      </c>
      <c r="J135" s="59">
        <f>-Table1[[#This Row],[Price]]*Table1[[#This Row],[Volume]]-E136*F136-Table1[[#This Row],[Commission]]-D136</f>
        <v>-44055.075000000004</v>
      </c>
      <c r="K135" s="45" t="s">
        <v>442</v>
      </c>
      <c r="L135" t="s">
        <v>756</v>
      </c>
      <c r="M135" s="33" t="s">
        <v>740</v>
      </c>
      <c r="N135" s="34" t="s">
        <v>741</v>
      </c>
      <c r="O135" s="34"/>
      <c r="P135" s="31"/>
      <c r="S135" s="2"/>
    </row>
    <row r="136" spans="1:19" x14ac:dyDescent="0.25">
      <c r="A136" s="43">
        <v>44271</v>
      </c>
      <c r="B136" s="14" t="s">
        <v>62</v>
      </c>
      <c r="C136" s="14" t="s">
        <v>401</v>
      </c>
      <c r="D136" s="16">
        <f>F136*E136*0.0025</f>
        <v>705.77499999999998</v>
      </c>
      <c r="E136" s="14">
        <v>25.9</v>
      </c>
      <c r="F136" s="14">
        <v>10900</v>
      </c>
      <c r="G136" s="14"/>
      <c r="H136" s="71"/>
      <c r="I136" s="67"/>
      <c r="J136" s="24">
        <f>(Table1[[#This Row],[Volume]]*Table1[[#This Row],[Price]]+Table1[[#This Row],[Commission]])</f>
        <v>283015.77500000002</v>
      </c>
      <c r="K136" s="45" t="s">
        <v>405</v>
      </c>
      <c r="L136" t="s">
        <v>756</v>
      </c>
      <c r="M136" s="33" t="s">
        <v>738</v>
      </c>
      <c r="N136" s="34" t="s">
        <v>739</v>
      </c>
      <c r="O136" s="34"/>
      <c r="P136" s="31"/>
      <c r="S136" s="2"/>
    </row>
    <row r="137" spans="1:19" x14ac:dyDescent="0.25">
      <c r="A137" s="43">
        <v>44266</v>
      </c>
      <c r="B137" s="14" t="s">
        <v>226</v>
      </c>
      <c r="C137" s="14"/>
      <c r="D137" s="16"/>
      <c r="E137" s="14"/>
      <c r="F137" s="14"/>
      <c r="G137" s="14" t="s">
        <v>412</v>
      </c>
      <c r="H137" s="71"/>
      <c r="I137" s="67"/>
      <c r="J137" s="24"/>
      <c r="K137" s="45" t="s">
        <v>413</v>
      </c>
      <c r="L137" t="s">
        <v>756</v>
      </c>
      <c r="M137" s="33" t="s">
        <v>736</v>
      </c>
      <c r="N137" s="34" t="s">
        <v>737</v>
      </c>
      <c r="O137" s="34"/>
      <c r="P137" s="31"/>
      <c r="S137" s="2"/>
    </row>
    <row r="138" spans="1:19" x14ac:dyDescent="0.25">
      <c r="A138" s="43">
        <v>44270</v>
      </c>
      <c r="B138" s="14" t="s">
        <v>90</v>
      </c>
      <c r="C138" s="14" t="s">
        <v>330</v>
      </c>
      <c r="D138" s="16">
        <f>-F138*E138*0.0035</f>
        <v>992.69799999999998</v>
      </c>
      <c r="E138" s="14">
        <f>ROUNDDOWN(((0.47*29.3)+(0.5*29.2))/0.97,2)</f>
        <v>29.24</v>
      </c>
      <c r="F138" s="14">
        <v>-9700</v>
      </c>
      <c r="G138" s="14">
        <f>7000</f>
        <v>7000</v>
      </c>
      <c r="H138" s="71">
        <f>Table1[[#This Row],[Result]]/(E139*F139)</f>
        <v>2.8556617126680818E-2</v>
      </c>
      <c r="I138" s="69">
        <f>DATEDIF(A139,A138,"d")-IF(DATEDIF(A139,A138,"d")&gt;7,ROUNDDOWN((DATEDIF(A139,A138,"d")/7),0)*2,1)+1</f>
        <v>9</v>
      </c>
      <c r="J138" s="61">
        <f>-Table1[[#This Row],[Price]]*Table1[[#This Row],[Volume]]-E139*F139-Table1[[#This Row],[Commission]]-D139</f>
        <v>7827.9969999999994</v>
      </c>
      <c r="K138" s="45" t="s">
        <v>400</v>
      </c>
      <c r="L138" t="s">
        <v>756</v>
      </c>
      <c r="M138" s="33" t="s">
        <v>732</v>
      </c>
      <c r="N138" s="34" t="s">
        <v>733</v>
      </c>
      <c r="O138" s="34"/>
      <c r="P138" s="31"/>
      <c r="S138" s="2"/>
    </row>
    <row r="139" spans="1:19" x14ac:dyDescent="0.25">
      <c r="A139" s="43">
        <v>44260</v>
      </c>
      <c r="B139" s="14" t="s">
        <v>62</v>
      </c>
      <c r="C139" s="14" t="s">
        <v>330</v>
      </c>
      <c r="D139" s="16">
        <f>F139*E139*0.0025</f>
        <v>685.30500000000006</v>
      </c>
      <c r="E139" s="14">
        <f>ROUNDUP(((27.2+27.45+7.7*28.5)/9.7),2)</f>
        <v>28.26</v>
      </c>
      <c r="F139" s="14">
        <v>9700</v>
      </c>
      <c r="G139" s="14"/>
      <c r="H139" s="71"/>
      <c r="I139" s="67"/>
      <c r="J139" s="24">
        <f>(Table1[[#This Row],[Volume]]*Table1[[#This Row],[Price]]+Table1[[#This Row],[Commission]])</f>
        <v>274807.30499999999</v>
      </c>
      <c r="K139" s="45" t="s">
        <v>392</v>
      </c>
      <c r="L139" t="s">
        <v>756</v>
      </c>
      <c r="M139" s="33" t="s">
        <v>728</v>
      </c>
      <c r="N139" s="34" t="s">
        <v>729</v>
      </c>
      <c r="O139" s="34"/>
      <c r="P139" s="31"/>
      <c r="S139" s="2"/>
    </row>
    <row r="140" spans="1:19" x14ac:dyDescent="0.25">
      <c r="A140" s="43">
        <v>44256</v>
      </c>
      <c r="B140" s="14"/>
      <c r="C140" s="14"/>
      <c r="D140" s="16"/>
      <c r="E140" s="14"/>
      <c r="F140" s="14"/>
      <c r="G140" s="63">
        <v>-7500</v>
      </c>
      <c r="H140" s="71"/>
      <c r="I140" s="67"/>
      <c r="J140" s="24"/>
      <c r="K140" s="45" t="s">
        <v>382</v>
      </c>
      <c r="L140" t="s">
        <v>756</v>
      </c>
      <c r="M140" s="33" t="s">
        <v>726</v>
      </c>
      <c r="N140" s="34" t="s">
        <v>727</v>
      </c>
      <c r="O140" s="34"/>
      <c r="P140" s="31"/>
      <c r="S140" s="2"/>
    </row>
    <row r="141" spans="1:19" x14ac:dyDescent="0.25">
      <c r="A141" s="43">
        <v>44257</v>
      </c>
      <c r="B141" s="14" t="s">
        <v>90</v>
      </c>
      <c r="C141" s="14" t="s">
        <v>207</v>
      </c>
      <c r="D141" s="16">
        <f>-F141*E141*0.0035</f>
        <v>65.625</v>
      </c>
      <c r="E141" s="14">
        <v>18.75</v>
      </c>
      <c r="F141" s="14">
        <v>-1000</v>
      </c>
      <c r="G141" s="14"/>
      <c r="H141" s="71">
        <f>Table1[[#This Row],[Result]]/(E142*F142)</f>
        <v>5.6104815864022661E-2</v>
      </c>
      <c r="I141" s="69">
        <f>DATEDIF(A142,A141,"d")-IF(DATEDIF(A142,A141,"d")&gt;7,ROUNDDOWN((DATEDIF(A142,A141,"d")/7),0)*2,1)+1</f>
        <v>5</v>
      </c>
      <c r="J141" s="61">
        <f>-Table1[[#This Row],[Price]]*Table1[[#This Row],[Volume]]-E142*F142-Table1[[#This Row],[Commission]]-D142</f>
        <v>990.25</v>
      </c>
      <c r="K141" s="45"/>
      <c r="L141" t="s">
        <v>756</v>
      </c>
      <c r="M141" s="32" t="s">
        <v>721</v>
      </c>
      <c r="N141" s="34" t="s">
        <v>722</v>
      </c>
      <c r="O141" s="34"/>
      <c r="P141" s="31"/>
      <c r="S141" s="2"/>
    </row>
    <row r="142" spans="1:19" x14ac:dyDescent="0.25">
      <c r="A142" s="43">
        <v>44252</v>
      </c>
      <c r="B142" s="14" t="s">
        <v>62</v>
      </c>
      <c r="C142" s="14" t="s">
        <v>207</v>
      </c>
      <c r="D142" s="16">
        <f>F142*E142*0.0025</f>
        <v>44.125</v>
      </c>
      <c r="E142" s="14">
        <v>17.649999999999999</v>
      </c>
      <c r="F142" s="14">
        <v>1000</v>
      </c>
      <c r="G142" s="14"/>
      <c r="H142" s="71"/>
      <c r="I142" s="67"/>
      <c r="J142" s="24">
        <f>(Table1[[#This Row],[Volume]]*Table1[[#This Row],[Price]]+Table1[[#This Row],[Commission]])</f>
        <v>17694.125</v>
      </c>
      <c r="K142" s="45" t="s">
        <v>377</v>
      </c>
      <c r="L142" t="s">
        <v>756</v>
      </c>
      <c r="M142" s="32" t="s">
        <v>719</v>
      </c>
      <c r="N142" s="104" t="s">
        <v>720</v>
      </c>
      <c r="O142" s="34"/>
      <c r="P142" s="31"/>
      <c r="S142" s="2"/>
    </row>
    <row r="143" spans="1:19" x14ac:dyDescent="0.25">
      <c r="A143" s="43">
        <v>44257</v>
      </c>
      <c r="B143" s="14" t="s">
        <v>90</v>
      </c>
      <c r="C143" s="14" t="s">
        <v>330</v>
      </c>
      <c r="D143" s="16">
        <f>-F143*E143*0.0035</f>
        <v>206.67500000000001</v>
      </c>
      <c r="E143" s="14">
        <f>(29.25+29.8)/2</f>
        <v>29.524999999999999</v>
      </c>
      <c r="F143" s="14">
        <v>-2000</v>
      </c>
      <c r="G143" s="14"/>
      <c r="H143" s="71">
        <f>Table1[[#This Row],[Result]]/(E144*F144)</f>
        <v>4.827366071428571E-2</v>
      </c>
      <c r="I143" s="69">
        <f>DATEDIF(A144,A143,"d")-IF(DATEDIF(A144,A143,"d")&gt;7,ROUNDDOWN((DATEDIF(A144,A143,"d")/7),0)*2,1)+1</f>
        <v>5</v>
      </c>
      <c r="J143" s="61">
        <f>-Table1[[#This Row],[Price]]*Table1[[#This Row],[Volume]]-E144*F144-Table1[[#This Row],[Commission]]-D144</f>
        <v>2703.3249999999998</v>
      </c>
      <c r="K143" s="45" t="s">
        <v>374</v>
      </c>
      <c r="L143" t="s">
        <v>756</v>
      </c>
      <c r="M143" s="32" t="s">
        <v>714</v>
      </c>
      <c r="N143" s="34" t="s">
        <v>715</v>
      </c>
      <c r="O143" s="34"/>
      <c r="P143" s="31"/>
      <c r="S143" s="2"/>
    </row>
    <row r="144" spans="1:19" x14ac:dyDescent="0.25">
      <c r="A144" s="43">
        <v>44252</v>
      </c>
      <c r="B144" s="14" t="s">
        <v>62</v>
      </c>
      <c r="C144" s="14" t="s">
        <v>330</v>
      </c>
      <c r="D144" s="16">
        <f>F144*E144*0.0025</f>
        <v>140</v>
      </c>
      <c r="E144" s="14">
        <v>28</v>
      </c>
      <c r="F144" s="14">
        <v>2000</v>
      </c>
      <c r="G144" s="14"/>
      <c r="H144" s="71"/>
      <c r="I144" s="67"/>
      <c r="J144" s="24">
        <f>Table1[[#This Row],[Volume]]*Table1[[#This Row],[Price]]+Table1[[#This Row],[Commission]]</f>
        <v>56140</v>
      </c>
      <c r="K144" s="45"/>
      <c r="L144" t="s">
        <v>756</v>
      </c>
      <c r="M144" s="32" t="s">
        <v>710</v>
      </c>
      <c r="N144" s="34" t="s">
        <v>712</v>
      </c>
      <c r="O144" s="34"/>
      <c r="P144" s="31"/>
      <c r="S144" s="2"/>
    </row>
    <row r="145" spans="1:19" x14ac:dyDescent="0.25">
      <c r="A145" s="43">
        <v>44257</v>
      </c>
      <c r="B145" s="14" t="s">
        <v>90</v>
      </c>
      <c r="C145" s="14" t="s">
        <v>367</v>
      </c>
      <c r="D145" s="16">
        <f>-F145*E145*0.0035</f>
        <v>199.5</v>
      </c>
      <c r="E145" s="14">
        <f>(28.55+28.45)/2</f>
        <v>28.5</v>
      </c>
      <c r="F145" s="14">
        <v>-2000</v>
      </c>
      <c r="G145" s="14"/>
      <c r="H145" s="71">
        <f>Table1[[#This Row],[Result]]/(E146*F146)</f>
        <v>3.7802197802197804E-2</v>
      </c>
      <c r="I145" s="69">
        <f>DATEDIF(A146,A145,"d")-IF(DATEDIF(A146,A145,"d")&gt;7,ROUNDDOWN((DATEDIF(A146,A145,"d")/7),0)*2,1)+1</f>
        <v>5</v>
      </c>
      <c r="J145" s="61">
        <f>-Table1[[#This Row],[Price]]*Table1[[#This Row],[Volume]]-E146*F146-Table1[[#This Row],[Commission]]-D146</f>
        <v>2064</v>
      </c>
      <c r="K145" s="45"/>
      <c r="L145" t="s">
        <v>756</v>
      </c>
      <c r="M145" s="32" t="s">
        <v>708</v>
      </c>
      <c r="N145" s="34" t="s">
        <v>709</v>
      </c>
      <c r="O145" s="34"/>
      <c r="P145" s="31"/>
      <c r="S145" s="2"/>
    </row>
    <row r="146" spans="1:19" x14ac:dyDescent="0.25">
      <c r="A146" s="43">
        <v>44252</v>
      </c>
      <c r="B146" s="14" t="s">
        <v>62</v>
      </c>
      <c r="C146" s="14" t="s">
        <v>367</v>
      </c>
      <c r="D146" s="16">
        <f>F146*E146*0.0025</f>
        <v>136.5</v>
      </c>
      <c r="E146" s="14">
        <v>27.3</v>
      </c>
      <c r="F146" s="14">
        <v>2000</v>
      </c>
      <c r="G146" s="14"/>
      <c r="H146" s="71"/>
      <c r="I146" s="67"/>
      <c r="J146" s="24">
        <f>Table1[[#This Row],[Volume]]*Table1[[#This Row],[Price]]+Table1[[#This Row],[Commission]]</f>
        <v>54736.5</v>
      </c>
      <c r="K146" s="45" t="s">
        <v>372</v>
      </c>
      <c r="L146" t="s">
        <v>756</v>
      </c>
      <c r="M146" s="32" t="s">
        <v>703</v>
      </c>
      <c r="N146" s="34" t="s">
        <v>704</v>
      </c>
      <c r="O146" s="34"/>
      <c r="P146" s="31"/>
      <c r="S146" s="2"/>
    </row>
    <row r="147" spans="1:19" x14ac:dyDescent="0.25">
      <c r="A147" s="43">
        <v>44245</v>
      </c>
      <c r="B147" s="14" t="s">
        <v>90</v>
      </c>
      <c r="C147" s="14" t="s">
        <v>361</v>
      </c>
      <c r="D147" s="16">
        <f>-F147*E147*0.0035</f>
        <v>945</v>
      </c>
      <c r="E147" s="14">
        <v>60</v>
      </c>
      <c r="F147" s="14">
        <v>-4500</v>
      </c>
      <c r="G147" s="14"/>
      <c r="H147" s="71">
        <f>Table1[[#This Row],[Result]]/(E148*F148)</f>
        <v>3.5520833333333335E-2</v>
      </c>
      <c r="I147" s="69">
        <f>DATEDIF(A148,A147,"d")-IF(DATEDIF(A148,A147,"d")&gt;7,ROUNDDOWN((DATEDIF(A148,A147,"d")/7),0)*2,1)+1</f>
        <v>9</v>
      </c>
      <c r="J147" s="61">
        <f>-Table1[[#This Row],[Price]]*Table1[[#This Row],[Volume]]-E148*F148-Table1[[#This Row],[Commission]]-D148</f>
        <v>9207</v>
      </c>
      <c r="K147" s="45" t="s">
        <v>366</v>
      </c>
      <c r="L147" t="s">
        <v>756</v>
      </c>
      <c r="M147" s="32" t="s">
        <v>701</v>
      </c>
      <c r="N147" s="34" t="s">
        <v>702</v>
      </c>
      <c r="O147" s="34"/>
      <c r="P147" s="31"/>
      <c r="S147" s="2"/>
    </row>
    <row r="148" spans="1:19" x14ac:dyDescent="0.25">
      <c r="A148" s="43">
        <v>44235</v>
      </c>
      <c r="B148" s="14" t="s">
        <v>62</v>
      </c>
      <c r="C148" s="14" t="s">
        <v>361</v>
      </c>
      <c r="D148" s="16">
        <f>F148*E148*0.0025</f>
        <v>648</v>
      </c>
      <c r="E148" s="14">
        <v>57.6</v>
      </c>
      <c r="F148" s="14">
        <v>4500</v>
      </c>
      <c r="G148" s="14">
        <v>20000</v>
      </c>
      <c r="H148" s="71"/>
      <c r="I148" s="67"/>
      <c r="J148" s="24"/>
      <c r="K148" s="45" t="s">
        <v>362</v>
      </c>
      <c r="L148" t="s">
        <v>756</v>
      </c>
      <c r="M148" s="32" t="s">
        <v>698</v>
      </c>
      <c r="N148" s="34" t="s">
        <v>699</v>
      </c>
      <c r="O148" s="34"/>
      <c r="P148" s="31"/>
      <c r="S148" s="2"/>
    </row>
    <row r="149" spans="1:19" x14ac:dyDescent="0.25">
      <c r="A149" s="43">
        <v>44232</v>
      </c>
      <c r="B149" s="14" t="s">
        <v>90</v>
      </c>
      <c r="C149" s="14" t="s">
        <v>92</v>
      </c>
      <c r="D149" s="16">
        <f>-F149*E149*0.0035</f>
        <v>410.55</v>
      </c>
      <c r="E149" s="14">
        <v>25.5</v>
      </c>
      <c r="F149" s="14">
        <v>-4600</v>
      </c>
      <c r="G149" s="14"/>
      <c r="H149" s="71">
        <f>Table1[[#This Row],[Result]]/(E150*F150)</f>
        <v>3.0457317073170731E-2</v>
      </c>
      <c r="I149" s="69">
        <f>DATEDIF(A150,A149,"d")-IF(DATEDIF(A150,A149,"d")&gt;7,ROUNDDOWN((DATEDIF(A150,A149,"d")/7),0)*2,1)+1</f>
        <v>3</v>
      </c>
      <c r="J149" s="61">
        <f>-Table1[[#This Row],[Price]]*Table1[[#This Row],[Volume]]-E150*F150-Table1[[#This Row],[Commission]]-D150</f>
        <v>3446.5499999999997</v>
      </c>
      <c r="K149" s="45" t="s">
        <v>360</v>
      </c>
      <c r="L149" t="s">
        <v>756</v>
      </c>
      <c r="M149" s="32" t="s">
        <v>696</v>
      </c>
      <c r="N149" s="34" t="s">
        <v>697</v>
      </c>
      <c r="O149" s="34"/>
      <c r="P149" s="31"/>
      <c r="S149" s="2" t="s">
        <v>298</v>
      </c>
    </row>
    <row r="150" spans="1:19" x14ac:dyDescent="0.25">
      <c r="A150" s="43">
        <v>44229</v>
      </c>
      <c r="B150" s="14" t="s">
        <v>62</v>
      </c>
      <c r="C150" s="14" t="s">
        <v>92</v>
      </c>
      <c r="D150" s="16">
        <f>F150*E150*0.0025</f>
        <v>282.90000000000003</v>
      </c>
      <c r="E150" s="14">
        <v>24.6</v>
      </c>
      <c r="F150" s="14">
        <v>4600</v>
      </c>
      <c r="G150" s="14"/>
      <c r="H150" s="71"/>
      <c r="I150" s="67"/>
      <c r="J150" s="24"/>
      <c r="K150" s="45"/>
      <c r="L150" t="s">
        <v>756</v>
      </c>
      <c r="M150" s="32" t="s">
        <v>694</v>
      </c>
      <c r="N150" s="34" t="s">
        <v>695</v>
      </c>
      <c r="O150" s="34"/>
      <c r="P150" s="31"/>
      <c r="S150" s="2"/>
    </row>
    <row r="151" spans="1:19" x14ac:dyDescent="0.25">
      <c r="A151" s="43">
        <v>44232</v>
      </c>
      <c r="B151" s="14" t="s">
        <v>90</v>
      </c>
      <c r="C151" s="14" t="s">
        <v>92</v>
      </c>
      <c r="D151" s="16">
        <f>-F151*E151*0.0035</f>
        <v>448.875</v>
      </c>
      <c r="E151" s="14">
        <v>25.65</v>
      </c>
      <c r="F151" s="14">
        <v>-5000</v>
      </c>
      <c r="G151" s="14"/>
      <c r="H151" s="71">
        <f>Table1[[#This Row],[Result]]/(E152*F152)</f>
        <v>3.6533536585365851E-2</v>
      </c>
      <c r="I151" s="69">
        <f>DATEDIF(A152,A151,"d")-IF(DATEDIF(A152,A151,"d")&gt;7,ROUNDDOWN((DATEDIF(A152,A151,"d")/7),0)*2,1)+1</f>
        <v>3</v>
      </c>
      <c r="J151" s="61">
        <f>-Table1[[#This Row],[Price]]*Table1[[#This Row],[Volume]]-E152*F152-Table1[[#This Row],[Commission]]-D152</f>
        <v>4493.625</v>
      </c>
      <c r="K151" s="45" t="s">
        <v>359</v>
      </c>
      <c r="L151" t="s">
        <v>756</v>
      </c>
      <c r="M151" s="32" t="s">
        <v>689</v>
      </c>
      <c r="N151" s="34" t="s">
        <v>691</v>
      </c>
      <c r="O151" s="34"/>
      <c r="P151" s="31"/>
      <c r="S151" s="2"/>
    </row>
    <row r="152" spans="1:19" x14ac:dyDescent="0.25">
      <c r="A152" s="43">
        <v>44229</v>
      </c>
      <c r="B152" s="14" t="s">
        <v>62</v>
      </c>
      <c r="C152" s="14" t="s">
        <v>92</v>
      </c>
      <c r="D152" s="16">
        <f>F152*E152*0.0025</f>
        <v>307.5</v>
      </c>
      <c r="E152" s="14">
        <v>24.6</v>
      </c>
      <c r="F152" s="14">
        <v>5000</v>
      </c>
      <c r="G152" s="14"/>
      <c r="H152" s="71"/>
      <c r="I152" s="67"/>
      <c r="J152" s="24"/>
      <c r="K152" s="45" t="s">
        <v>356</v>
      </c>
      <c r="L152" t="s">
        <v>756</v>
      </c>
      <c r="M152" s="32" t="s">
        <v>687</v>
      </c>
      <c r="N152" s="34" t="s">
        <v>688</v>
      </c>
      <c r="O152" s="34"/>
      <c r="P152" s="31"/>
      <c r="S152" s="2"/>
    </row>
    <row r="153" spans="1:19" x14ac:dyDescent="0.25">
      <c r="A153" s="43">
        <v>44225</v>
      </c>
      <c r="B153" s="14" t="s">
        <v>90</v>
      </c>
      <c r="C153" s="14" t="s">
        <v>199</v>
      </c>
      <c r="D153" s="16">
        <f>-F153*E153*0.0035</f>
        <v>4.2839999999999998</v>
      </c>
      <c r="E153" s="14">
        <v>6.12</v>
      </c>
      <c r="F153" s="14">
        <v>-200</v>
      </c>
      <c r="G153" s="14"/>
      <c r="H153" s="71">
        <f>J153/(200*8.41)</f>
        <v>-0.28197621878715828</v>
      </c>
      <c r="I153" s="69">
        <f>DATEDIF(A165,A153,"d")-IF(DATEDIF(A165,A153,"d")&gt;7,ROUNDDOWN((DATEDIF(A165,A153,"d")/7),0)*2,1)+1</f>
        <v>12</v>
      </c>
      <c r="J153" s="59">
        <f>-Table1[[#This Row],[Volume]]*Table1[[#This Row],[Price]]-(200*8.47)-Table1[[#This Row],[Commission]]</f>
        <v>-474.28400000000022</v>
      </c>
      <c r="K153" s="45" t="s">
        <v>337</v>
      </c>
      <c r="L153" t="s">
        <v>756</v>
      </c>
      <c r="M153" s="32" t="s">
        <v>683</v>
      </c>
      <c r="N153" s="34" t="s">
        <v>684</v>
      </c>
      <c r="O153" s="34"/>
      <c r="P153" s="31"/>
      <c r="S153" s="2"/>
    </row>
    <row r="154" spans="1:19" x14ac:dyDescent="0.25">
      <c r="A154" s="43">
        <v>44228</v>
      </c>
      <c r="B154" s="14" t="s">
        <v>90</v>
      </c>
      <c r="C154" s="14" t="s">
        <v>311</v>
      </c>
      <c r="D154" s="16">
        <f>-F154*E154*0.0035</f>
        <v>5.992</v>
      </c>
      <c r="E154" s="14">
        <v>8.56</v>
      </c>
      <c r="F154" s="14">
        <v>-200</v>
      </c>
      <c r="G154" s="14"/>
      <c r="H154" s="71">
        <f>Table1[[#This Row],[Result]]/(E155*F155)</f>
        <v>-0.11395416666666666</v>
      </c>
      <c r="I154" s="69">
        <f>DATEDIF(A155,A154,"d")-IF(DATEDIF(A155,A154,"d")&gt;7,ROUNDDOWN((DATEDIF(A155,A154,"d")/7),0)*2,1)+1</f>
        <v>5</v>
      </c>
      <c r="J154" s="59">
        <f>-Table1[[#This Row],[Price]]*Table1[[#This Row],[Volume]]-E155*F155-Table1[[#This Row],[Commission]]-D155</f>
        <v>-218.792</v>
      </c>
      <c r="K154" s="45"/>
      <c r="L154" t="s">
        <v>756</v>
      </c>
      <c r="M154" s="32" t="s">
        <v>681</v>
      </c>
      <c r="N154" s="34" t="s">
        <v>682</v>
      </c>
      <c r="O154" s="34"/>
      <c r="P154" s="31"/>
      <c r="S154" s="2"/>
    </row>
    <row r="155" spans="1:19" x14ac:dyDescent="0.25">
      <c r="A155" s="43">
        <v>44223</v>
      </c>
      <c r="B155" s="14" t="s">
        <v>62</v>
      </c>
      <c r="C155" s="14" t="s">
        <v>311</v>
      </c>
      <c r="D155" s="16">
        <f>F155*E155*0.0025</f>
        <v>4.8</v>
      </c>
      <c r="E155" s="14">
        <v>9.6</v>
      </c>
      <c r="F155" s="14">
        <v>200</v>
      </c>
      <c r="G155" s="14"/>
      <c r="H155" s="71"/>
      <c r="I155" s="67"/>
      <c r="J155" s="24"/>
      <c r="K155" s="45" t="s">
        <v>332</v>
      </c>
      <c r="L155" t="s">
        <v>756</v>
      </c>
      <c r="M155" s="32" t="s">
        <v>676</v>
      </c>
      <c r="N155" s="34" t="s">
        <v>680</v>
      </c>
      <c r="O155" s="34"/>
      <c r="P155" s="102"/>
      <c r="Q155">
        <f>318000-173000</f>
        <v>145000</v>
      </c>
      <c r="S155" s="2"/>
    </row>
    <row r="156" spans="1:19" x14ac:dyDescent="0.25">
      <c r="A156" s="43">
        <v>44228</v>
      </c>
      <c r="B156" s="14" t="s">
        <v>90</v>
      </c>
      <c r="C156" s="14" t="s">
        <v>330</v>
      </c>
      <c r="D156" s="16">
        <f>-F156*E156*0.0035</f>
        <v>73.08</v>
      </c>
      <c r="E156" s="14">
        <v>23.2</v>
      </c>
      <c r="F156" s="14">
        <v>-900</v>
      </c>
      <c r="G156" s="14"/>
      <c r="H156" s="71">
        <f>Table1[[#This Row],[Result]]/(E157*F157)</f>
        <v>-8.8713438735177855E-2</v>
      </c>
      <c r="I156" s="69"/>
      <c r="J156" s="59">
        <f>-Table1[[#This Row],[Price]]*Table1[[#This Row],[Volume]]-E157*F157-Table1[[#This Row],[Commission]]-D157</f>
        <v>-2020.0049999999999</v>
      </c>
      <c r="K156" s="45"/>
      <c r="L156" t="s">
        <v>756</v>
      </c>
      <c r="M156" s="32" t="s">
        <v>674</v>
      </c>
      <c r="N156" s="34" t="s">
        <v>675</v>
      </c>
      <c r="O156" s="34"/>
      <c r="P156" s="31"/>
      <c r="Q156">
        <f>(O158+P158)*1.006</f>
        <v>239629.2</v>
      </c>
      <c r="R156">
        <f>Q156/8000</f>
        <v>29.953650000000003</v>
      </c>
      <c r="S156" s="2"/>
    </row>
    <row r="157" spans="1:19" x14ac:dyDescent="0.25">
      <c r="A157" s="43">
        <v>44223</v>
      </c>
      <c r="B157" s="14" t="s">
        <v>62</v>
      </c>
      <c r="C157" s="14" t="s">
        <v>330</v>
      </c>
      <c r="D157" s="16">
        <f>F157*E157*0.0025</f>
        <v>56.925000000000004</v>
      </c>
      <c r="E157" s="14">
        <v>25.3</v>
      </c>
      <c r="F157" s="14">
        <v>900</v>
      </c>
      <c r="G157" s="14"/>
      <c r="H157" s="71"/>
      <c r="I157" s="67"/>
      <c r="J157" s="24"/>
      <c r="K157" s="45" t="s">
        <v>331</v>
      </c>
      <c r="L157" t="s">
        <v>756</v>
      </c>
      <c r="M157" s="32" t="s">
        <v>671</v>
      </c>
      <c r="N157" s="34" t="s">
        <v>673</v>
      </c>
      <c r="O157" s="34"/>
      <c r="P157" s="31"/>
      <c r="Q157">
        <f>14.5*8000+60800</f>
        <v>176800</v>
      </c>
      <c r="R157">
        <f>Q157/8000</f>
        <v>22.1</v>
      </c>
    </row>
    <row r="158" spans="1:19" x14ac:dyDescent="0.25">
      <c r="A158" s="43">
        <v>44223</v>
      </c>
      <c r="B158" s="14" t="s">
        <v>90</v>
      </c>
      <c r="C158" s="14" t="s">
        <v>318</v>
      </c>
      <c r="D158" s="16">
        <f>-F158*E158*0.0035</f>
        <v>87.15</v>
      </c>
      <c r="E158" s="14">
        <v>41.5</v>
      </c>
      <c r="F158" s="14">
        <v>-600</v>
      </c>
      <c r="G158" s="14"/>
      <c r="H158" s="71">
        <f>Table1[[#This Row],[Result]]/(E160*F160+E161*F161)</f>
        <v>-2.9637816114487358E-2</v>
      </c>
      <c r="I158" s="69"/>
      <c r="J158" s="59">
        <f>-(Table1[[#This Row],[Price]]*Table1[[#This Row],[Volume]])-(E160*F160+E161*F161)-Table1[[#This Row],[Commission]]-D160-D161</f>
        <v>-755.91250000000002</v>
      </c>
      <c r="K158" s="45" t="s">
        <v>329</v>
      </c>
      <c r="L158" t="s">
        <v>756</v>
      </c>
      <c r="M158" s="32" t="s">
        <v>669</v>
      </c>
      <c r="N158" s="34" t="s">
        <v>670</v>
      </c>
      <c r="O158" s="34">
        <f>(54.6-39.7)*8000+3000</f>
        <v>122199.99999999999</v>
      </c>
      <c r="P158" s="31">
        <f>14.5*8000</f>
        <v>116000</v>
      </c>
      <c r="Q158">
        <f>8000*54.6-42.7*8000</f>
        <v>95200</v>
      </c>
      <c r="R158">
        <f>ROUNDDOWN(P160*1.1,1)</f>
        <v>39.6</v>
      </c>
      <c r="S158" t="s">
        <v>118</v>
      </c>
    </row>
    <row r="159" spans="1:19" x14ac:dyDescent="0.25">
      <c r="A159" s="43">
        <v>44224</v>
      </c>
      <c r="B159" s="14" t="s">
        <v>90</v>
      </c>
      <c r="C159" s="14" t="s">
        <v>92</v>
      </c>
      <c r="D159" s="16">
        <f>-F159*E159*0.0035</f>
        <v>751.1875</v>
      </c>
      <c r="E159" s="14">
        <v>25.25</v>
      </c>
      <c r="F159" s="14">
        <v>-8500</v>
      </c>
      <c r="G159" s="14"/>
      <c r="H159" s="71">
        <f>Table1[[#This Row],[Result]]/(E162*F162)</f>
        <v>-9.2495479204339967E-2</v>
      </c>
      <c r="I159" s="69">
        <f>DATEDIF(A160,A159,"d")-IF(DATEDIF(A160,A159,"d")&gt;7,ROUNDDOWN((DATEDIF(A160,A159,"d")/7),0)*2,1)+1</f>
        <v>6</v>
      </c>
      <c r="J159" s="59">
        <f>-(Table1[[#This Row],[Price]]*Table1[[#This Row],[Volume]])-E162*F162-D162-Table1[[#This Row],[Commission]]</f>
        <v>-21738.75</v>
      </c>
      <c r="K159" s="45" t="s">
        <v>338</v>
      </c>
      <c r="L159" t="s">
        <v>756</v>
      </c>
      <c r="M159" s="32" t="s">
        <v>665</v>
      </c>
      <c r="N159" s="34" t="s">
        <v>666</v>
      </c>
      <c r="O159" s="34"/>
      <c r="P159" s="31"/>
      <c r="S159" s="2" t="s">
        <v>121</v>
      </c>
    </row>
    <row r="160" spans="1:19" x14ac:dyDescent="0.25">
      <c r="A160" s="43">
        <v>44218</v>
      </c>
      <c r="B160" s="14" t="s">
        <v>62</v>
      </c>
      <c r="C160" s="14" t="s">
        <v>318</v>
      </c>
      <c r="D160" s="16">
        <f>F160*E160*0.0025</f>
        <v>10.637500000000001</v>
      </c>
      <c r="E160" s="14">
        <v>42.55</v>
      </c>
      <c r="F160" s="14">
        <v>100</v>
      </c>
      <c r="G160" s="14"/>
      <c r="H160" s="71"/>
      <c r="I160" s="67"/>
      <c r="J160" s="24"/>
      <c r="K160" s="45" t="s">
        <v>319</v>
      </c>
      <c r="L160" t="s">
        <v>756</v>
      </c>
      <c r="M160" s="32" t="s">
        <v>663</v>
      </c>
      <c r="N160" t="s">
        <v>664</v>
      </c>
      <c r="O160" s="33">
        <f>14.5*8000+8000*57.6</f>
        <v>576800</v>
      </c>
      <c r="P160" s="34">
        <f>O160/16000</f>
        <v>36.049999999999997</v>
      </c>
      <c r="S160" s="2" t="s">
        <v>122</v>
      </c>
    </row>
    <row r="161" spans="1:19" x14ac:dyDescent="0.25">
      <c r="A161" s="43">
        <v>44218</v>
      </c>
      <c r="B161" s="14" t="s">
        <v>62</v>
      </c>
      <c r="C161" s="14" t="s">
        <v>318</v>
      </c>
      <c r="D161" s="16">
        <f>F161*E161*0.0025</f>
        <v>53.125</v>
      </c>
      <c r="E161" s="14">
        <v>42.5</v>
      </c>
      <c r="F161" s="14">
        <v>500</v>
      </c>
      <c r="G161" s="14"/>
      <c r="H161" s="71"/>
      <c r="I161" s="67"/>
      <c r="J161" s="24"/>
      <c r="K161" s="45" t="s">
        <v>320</v>
      </c>
      <c r="L161" t="s">
        <v>756</v>
      </c>
      <c r="M161" s="32" t="s">
        <v>661</v>
      </c>
      <c r="N161" s="34" t="s">
        <v>662</v>
      </c>
      <c r="O161" s="34"/>
      <c r="P161" s="31"/>
      <c r="S161" s="2" t="s">
        <v>119</v>
      </c>
    </row>
    <row r="162" spans="1:19" x14ac:dyDescent="0.25">
      <c r="A162" s="43">
        <v>44218</v>
      </c>
      <c r="B162" s="14" t="s">
        <v>62</v>
      </c>
      <c r="C162" s="14" t="s">
        <v>92</v>
      </c>
      <c r="D162" s="16">
        <f>F162*E162*0.0025</f>
        <v>587.5625</v>
      </c>
      <c r="E162" s="14">
        <v>27.65</v>
      </c>
      <c r="F162" s="14">
        <v>8500</v>
      </c>
      <c r="G162" s="14"/>
      <c r="H162" s="71"/>
      <c r="I162" s="67"/>
      <c r="J162" s="24"/>
      <c r="K162" s="45" t="s">
        <v>321</v>
      </c>
      <c r="L162" t="s">
        <v>756</v>
      </c>
      <c r="M162" s="32" t="s">
        <v>659</v>
      </c>
      <c r="N162" s="34" t="s">
        <v>660</v>
      </c>
      <c r="O162" s="34"/>
      <c r="P162" s="31"/>
      <c r="S162" s="2" t="s">
        <v>120</v>
      </c>
    </row>
    <row r="163" spans="1:19" x14ac:dyDescent="0.25">
      <c r="A163" s="43">
        <v>44215</v>
      </c>
      <c r="B163" s="14" t="s">
        <v>90</v>
      </c>
      <c r="C163" s="14" t="s">
        <v>311</v>
      </c>
      <c r="D163" s="16">
        <f>-F163*E163*0.0035</f>
        <v>17.5</v>
      </c>
      <c r="E163" s="14">
        <v>12.5</v>
      </c>
      <c r="F163" s="14">
        <v>-400</v>
      </c>
      <c r="G163" s="14"/>
      <c r="H163" s="71">
        <f>J163/(D166*F166)</f>
        <v>4.4243697478991595E-2</v>
      </c>
      <c r="I163" s="69"/>
      <c r="J163" s="24">
        <f>-F163*E163-F166*E166-D166-D163</f>
        <v>210.6</v>
      </c>
      <c r="K163" s="45" t="s">
        <v>312</v>
      </c>
      <c r="L163" t="s">
        <v>756</v>
      </c>
      <c r="M163" s="32" t="s">
        <v>655</v>
      </c>
      <c r="N163" s="34" t="s">
        <v>656</v>
      </c>
      <c r="O163" s="34"/>
      <c r="P163" s="31"/>
      <c r="S163" s="2" t="s">
        <v>124</v>
      </c>
    </row>
    <row r="164" spans="1:19" x14ac:dyDescent="0.25">
      <c r="A164" s="43">
        <v>44215</v>
      </c>
      <c r="B164" s="14" t="s">
        <v>90</v>
      </c>
      <c r="C164" s="14" t="s">
        <v>199</v>
      </c>
      <c r="D164" s="16">
        <f>-F164*E164*0.0035</f>
        <v>899.87800000000004</v>
      </c>
      <c r="E164" s="14">
        <v>7.96</v>
      </c>
      <c r="F164" s="14">
        <v>-32300</v>
      </c>
      <c r="G164" s="14"/>
      <c r="H164" s="71">
        <f>J164/244200</f>
        <v>-6.5986836609336616E-2</v>
      </c>
      <c r="I164" s="69">
        <f>DATEDIF(A165,A164,"d")-IF(DATEDIF(A165,A164,"d")&gt;7,ROUNDDOWN((DATEDIF(A165,A164,"d")/7),0)*2,1)+1</f>
        <v>5</v>
      </c>
      <c r="J164" s="59">
        <f>-F164*E164-(F165*E165)-(D164+D165)</f>
        <v>-16113.985500000001</v>
      </c>
      <c r="K164" s="45" t="s">
        <v>316</v>
      </c>
      <c r="L164" t="s">
        <v>756</v>
      </c>
      <c r="M164" s="32" t="s">
        <v>653</v>
      </c>
      <c r="N164" s="34" t="s">
        <v>654</v>
      </c>
      <c r="O164" s="34"/>
      <c r="P164" s="31"/>
      <c r="S164" s="2" t="s">
        <v>127</v>
      </c>
    </row>
    <row r="165" spans="1:19" x14ac:dyDescent="0.25">
      <c r="A165" s="43">
        <v>44210</v>
      </c>
      <c r="B165" s="14" t="s">
        <v>62</v>
      </c>
      <c r="C165" s="14" t="s">
        <v>199</v>
      </c>
      <c r="D165" s="16">
        <f>F165*E165*0.0025</f>
        <v>679.10749999999996</v>
      </c>
      <c r="E165" s="14">
        <v>8.41</v>
      </c>
      <c r="F165" s="14">
        <v>32300</v>
      </c>
      <c r="G165" s="14"/>
      <c r="H165" s="71"/>
      <c r="I165" s="67"/>
      <c r="J165" s="24"/>
      <c r="K165" s="45" t="s">
        <v>315</v>
      </c>
      <c r="L165" t="s">
        <v>756</v>
      </c>
      <c r="M165" s="32" t="s">
        <v>651</v>
      </c>
      <c r="N165" s="34" t="s">
        <v>652</v>
      </c>
      <c r="O165" s="34"/>
      <c r="P165" s="31"/>
      <c r="S165" s="2" t="s">
        <v>145</v>
      </c>
    </row>
    <row r="166" spans="1:19" x14ac:dyDescent="0.25">
      <c r="A166" s="43">
        <v>44210</v>
      </c>
      <c r="B166" s="14" t="s">
        <v>62</v>
      </c>
      <c r="C166" s="14" t="s">
        <v>311</v>
      </c>
      <c r="D166" s="16">
        <f>F166*E166*0.0025</f>
        <v>11.9</v>
      </c>
      <c r="E166" s="14">
        <v>11.9</v>
      </c>
      <c r="F166" s="14">
        <v>400</v>
      </c>
      <c r="G166" s="14"/>
      <c r="H166" s="71"/>
      <c r="I166" s="67"/>
      <c r="J166" s="24"/>
      <c r="K166" s="45"/>
      <c r="L166" t="s">
        <v>756</v>
      </c>
      <c r="M166" s="32" t="s">
        <v>648</v>
      </c>
      <c r="N166" s="34" t="s">
        <v>650</v>
      </c>
      <c r="O166" s="34"/>
      <c r="P166" s="31"/>
      <c r="S166" s="26" t="s">
        <v>153</v>
      </c>
    </row>
    <row r="167" spans="1:19" x14ac:dyDescent="0.25">
      <c r="A167" s="43">
        <v>44209</v>
      </c>
      <c r="B167" s="14" t="s">
        <v>90</v>
      </c>
      <c r="C167" s="14" t="s">
        <v>303</v>
      </c>
      <c r="D167" s="16">
        <f>-F167*E167*0.0035</f>
        <v>962.5</v>
      </c>
      <c r="E167" s="14">
        <v>12.5</v>
      </c>
      <c r="F167" s="14">
        <v>-22000</v>
      </c>
      <c r="G167" s="14"/>
      <c r="H167" s="71">
        <f>J167/244200</f>
        <v>0.11968468468468468</v>
      </c>
      <c r="I167" s="69">
        <f>DATEDIF(A168,A167,"d")-IF(DATEDIF(A168,A167,"d")&gt;7,ROUNDDOWN((DATEDIF(A168,A167,"d")/7),0)*2,1)+1</f>
        <v>8</v>
      </c>
      <c r="J167" s="24">
        <f>-F167*E167-(F168*E168+F169*E169)-(D167+D168+D169)</f>
        <v>29227</v>
      </c>
      <c r="K167" s="45" t="s">
        <v>323</v>
      </c>
      <c r="L167" t="s">
        <v>756</v>
      </c>
      <c r="M167" s="32" t="s">
        <v>646</v>
      </c>
      <c r="N167" s="34" t="s">
        <v>647</v>
      </c>
      <c r="O167" s="34"/>
      <c r="P167" s="31"/>
      <c r="S167" s="26" t="s">
        <v>154</v>
      </c>
    </row>
    <row r="168" spans="1:19" x14ac:dyDescent="0.25">
      <c r="A168" s="43">
        <v>44200</v>
      </c>
      <c r="B168" s="14" t="s">
        <v>62</v>
      </c>
      <c r="C168" s="14" t="s">
        <v>303</v>
      </c>
      <c r="D168" s="16">
        <f>F168*E168*0.0025</f>
        <v>302.5</v>
      </c>
      <c r="E168" s="14">
        <v>11</v>
      </c>
      <c r="F168" s="14">
        <v>11000</v>
      </c>
      <c r="G168" s="14"/>
      <c r="H168" s="71"/>
      <c r="I168" s="67"/>
      <c r="J168" s="24"/>
      <c r="K168" s="45" t="s">
        <v>306</v>
      </c>
      <c r="L168" t="s">
        <v>756</v>
      </c>
      <c r="M168" s="32" t="s">
        <v>644</v>
      </c>
      <c r="N168" s="33" t="s">
        <v>645</v>
      </c>
      <c r="O168" s="34"/>
      <c r="P168" s="31"/>
    </row>
    <row r="169" spans="1:19" x14ac:dyDescent="0.25">
      <c r="A169" s="43">
        <v>44200</v>
      </c>
      <c r="B169" s="14" t="s">
        <v>62</v>
      </c>
      <c r="C169" s="14" t="s">
        <v>303</v>
      </c>
      <c r="D169" s="16">
        <f>F169*E169*0.0025</f>
        <v>307.99999999999994</v>
      </c>
      <c r="E169" s="14">
        <v>11.2</v>
      </c>
      <c r="F169" s="14">
        <v>11000</v>
      </c>
      <c r="G169" s="14"/>
      <c r="H169" s="71"/>
      <c r="I169" s="67"/>
      <c r="J169" s="24"/>
      <c r="K169" s="45" t="s">
        <v>304</v>
      </c>
      <c r="L169" t="s">
        <v>756</v>
      </c>
      <c r="M169" s="32" t="s">
        <v>642</v>
      </c>
      <c r="N169" s="101" t="s">
        <v>643</v>
      </c>
      <c r="O169" s="34"/>
      <c r="P169" s="31"/>
    </row>
    <row r="170" spans="1:19" x14ac:dyDescent="0.25">
      <c r="A170" s="43">
        <v>44200</v>
      </c>
      <c r="B170" s="14" t="s">
        <v>227</v>
      </c>
      <c r="C170" s="14"/>
      <c r="D170" s="16"/>
      <c r="E170" s="14"/>
      <c r="F170" s="14"/>
      <c r="G170" s="14">
        <v>6500</v>
      </c>
      <c r="H170" s="71"/>
      <c r="I170" s="67"/>
      <c r="J170" s="24"/>
      <c r="K170" s="45" t="s">
        <v>301</v>
      </c>
      <c r="L170" t="s">
        <v>756</v>
      </c>
      <c r="M170" s="32" t="s">
        <v>639</v>
      </c>
      <c r="N170" s="34" t="s">
        <v>640</v>
      </c>
      <c r="O170" s="34"/>
      <c r="P170" s="31"/>
    </row>
    <row r="171" spans="1:19" x14ac:dyDescent="0.25">
      <c r="A171" s="43">
        <v>44195</v>
      </c>
      <c r="B171" s="14" t="s">
        <v>90</v>
      </c>
      <c r="C171" s="14" t="s">
        <v>199</v>
      </c>
      <c r="D171" s="16">
        <f>-F171*E171*0.0035</f>
        <v>842.87700000000007</v>
      </c>
      <c r="E171" s="14">
        <v>7.0830000000000002</v>
      </c>
      <c r="F171" s="14">
        <v>-34000</v>
      </c>
      <c r="G171" s="13"/>
      <c r="H171" s="74">
        <f>J171/(E172*F172)</f>
        <v>3.3947797356828194E-2</v>
      </c>
      <c r="I171" s="69">
        <f>DATEDIF(A172,A171,"d")-IF(DATEDIF(A172,A171,"d")&gt;7,ROUNDDOWN((DATEDIF(A172,A171,"d")/7),0)*2,1)+1</f>
        <v>5</v>
      </c>
      <c r="J171" s="24">
        <f>-E171*F171-E172*F172-D171-D172</f>
        <v>7860.2729999999992</v>
      </c>
      <c r="K171" s="46" t="s">
        <v>276</v>
      </c>
      <c r="L171" t="s">
        <v>756</v>
      </c>
      <c r="M171" s="32" t="s">
        <v>638</v>
      </c>
      <c r="N171" s="99" t="s">
        <v>641</v>
      </c>
      <c r="O171" s="34"/>
      <c r="P171" s="31"/>
    </row>
    <row r="172" spans="1:19" x14ac:dyDescent="0.25">
      <c r="A172" s="43">
        <v>44190</v>
      </c>
      <c r="B172" s="14" t="s">
        <v>62</v>
      </c>
      <c r="C172" s="14" t="s">
        <v>199</v>
      </c>
      <c r="D172" s="16">
        <f>F172*E172*0.0025</f>
        <v>578.85</v>
      </c>
      <c r="E172" s="14">
        <v>6.81</v>
      </c>
      <c r="F172" s="14">
        <v>34000</v>
      </c>
      <c r="G172" s="13"/>
      <c r="H172" s="75"/>
      <c r="I172" s="67"/>
      <c r="J172" s="23"/>
      <c r="K172" s="45" t="s">
        <v>270</v>
      </c>
      <c r="L172" t="s">
        <v>756</v>
      </c>
      <c r="M172" s="32" t="s">
        <v>636</v>
      </c>
      <c r="N172" s="34" t="s">
        <v>637</v>
      </c>
      <c r="O172" s="34"/>
      <c r="P172" s="31"/>
    </row>
    <row r="173" spans="1:19" x14ac:dyDescent="0.25">
      <c r="A173" s="43">
        <v>44190</v>
      </c>
      <c r="B173" s="14" t="s">
        <v>90</v>
      </c>
      <c r="C173" s="14" t="s">
        <v>266</v>
      </c>
      <c r="D173" s="16">
        <f>-F173*E173*0.0035</f>
        <v>199.85</v>
      </c>
      <c r="E173" s="14">
        <v>28.55</v>
      </c>
      <c r="F173" s="14">
        <v>-2000</v>
      </c>
      <c r="G173" s="14"/>
      <c r="H173" s="75"/>
      <c r="I173" s="67"/>
      <c r="J173" s="23"/>
      <c r="K173" s="45" t="s">
        <v>295</v>
      </c>
      <c r="L173" t="s">
        <v>756</v>
      </c>
      <c r="M173" s="32" t="s">
        <v>634</v>
      </c>
      <c r="N173" s="34" t="s">
        <v>635</v>
      </c>
      <c r="O173" s="34"/>
      <c r="P173" s="31"/>
    </row>
    <row r="174" spans="1:19" x14ac:dyDescent="0.25">
      <c r="A174" s="43">
        <v>44190</v>
      </c>
      <c r="B174" s="14" t="s">
        <v>90</v>
      </c>
      <c r="C174" s="14" t="s">
        <v>63</v>
      </c>
      <c r="D174" s="16">
        <f>-F174*E174*0.0035</f>
        <v>603.54</v>
      </c>
      <c r="E174" s="14">
        <v>9.58</v>
      </c>
      <c r="F174" s="14">
        <v>-18000</v>
      </c>
      <c r="G174" s="14"/>
      <c r="H174" s="74">
        <f>J174/(E175*F175)</f>
        <v>1.2002656748140276E-2</v>
      </c>
      <c r="I174" s="69">
        <f>DATEDIF(A175,A174,"d")-IF(DATEDIF(A175,A174,"d")&gt;7,ROUNDDOWN((DATEDIF(A175,A174,"d")/7),0)*2,1)+1</f>
        <v>3</v>
      </c>
      <c r="J174" s="24">
        <f>-E174*F174-E175*F175-D174-D175</f>
        <v>2033.01</v>
      </c>
      <c r="K174" s="45" t="s">
        <v>269</v>
      </c>
      <c r="L174" t="s">
        <v>756</v>
      </c>
      <c r="M174" s="32" t="s">
        <v>632</v>
      </c>
      <c r="N174" s="34" t="s">
        <v>633</v>
      </c>
      <c r="O174" s="34"/>
      <c r="P174" s="31"/>
    </row>
    <row r="175" spans="1:19" x14ac:dyDescent="0.25">
      <c r="A175" s="43">
        <v>44187</v>
      </c>
      <c r="B175" s="14" t="s">
        <v>62</v>
      </c>
      <c r="C175" s="14" t="s">
        <v>63</v>
      </c>
      <c r="D175" s="16">
        <f>F175*E175*0.0025</f>
        <v>423.45</v>
      </c>
      <c r="E175" s="14">
        <v>9.41</v>
      </c>
      <c r="F175" s="14">
        <v>18000</v>
      </c>
      <c r="G175" s="14"/>
      <c r="H175" s="71"/>
      <c r="I175" s="67"/>
      <c r="J175" s="24"/>
      <c r="K175" s="45" t="s">
        <v>268</v>
      </c>
      <c r="L175" t="s">
        <v>756</v>
      </c>
      <c r="M175" s="32" t="s">
        <v>630</v>
      </c>
      <c r="N175" s="34" t="s">
        <v>631</v>
      </c>
      <c r="O175" s="34"/>
      <c r="P175" s="31"/>
    </row>
    <row r="176" spans="1:19" x14ac:dyDescent="0.25">
      <c r="A176" s="43">
        <v>44186</v>
      </c>
      <c r="B176" s="14" t="s">
        <v>62</v>
      </c>
      <c r="C176" s="14" t="s">
        <v>266</v>
      </c>
      <c r="D176" s="16">
        <f>F176*E176*0.0025</f>
        <v>71.625</v>
      </c>
      <c r="E176" s="14">
        <v>28.65</v>
      </c>
      <c r="F176" s="14">
        <v>1000</v>
      </c>
      <c r="G176" s="14"/>
      <c r="H176" s="71"/>
      <c r="I176" s="69"/>
      <c r="J176" s="24"/>
      <c r="K176" s="45" t="s">
        <v>267</v>
      </c>
      <c r="L176" t="s">
        <v>756</v>
      </c>
      <c r="M176" s="32" t="s">
        <v>628</v>
      </c>
      <c r="N176" s="34" t="s">
        <v>629</v>
      </c>
      <c r="O176" s="34"/>
      <c r="P176" s="31"/>
    </row>
    <row r="177" spans="1:16" x14ac:dyDescent="0.25">
      <c r="A177" s="43">
        <v>44186</v>
      </c>
      <c r="B177" s="14" t="s">
        <v>62</v>
      </c>
      <c r="C177" s="14" t="s">
        <v>266</v>
      </c>
      <c r="D177" s="16">
        <f>F177*E177*0.0025</f>
        <v>71.5</v>
      </c>
      <c r="E177" s="14">
        <v>28.6</v>
      </c>
      <c r="F177" s="14">
        <v>1000</v>
      </c>
      <c r="G177" s="14"/>
      <c r="H177" s="71"/>
      <c r="I177" s="67"/>
      <c r="J177" s="24"/>
      <c r="K177" s="45" t="s">
        <v>265</v>
      </c>
      <c r="L177" t="s">
        <v>756</v>
      </c>
      <c r="M177" s="32" t="s">
        <v>626</v>
      </c>
      <c r="N177" s="34" t="s">
        <v>627</v>
      </c>
      <c r="O177" s="34"/>
      <c r="P177" s="31"/>
    </row>
    <row r="178" spans="1:16" x14ac:dyDescent="0.25">
      <c r="A178" s="43">
        <v>44186</v>
      </c>
      <c r="B178" s="14" t="s">
        <v>227</v>
      </c>
      <c r="C178" s="14"/>
      <c r="D178" s="16"/>
      <c r="E178" s="14"/>
      <c r="F178" s="14"/>
      <c r="G178" s="14">
        <v>35500</v>
      </c>
      <c r="H178" s="71"/>
      <c r="I178" s="67"/>
      <c r="J178" s="24"/>
      <c r="K178" s="45" t="s">
        <v>264</v>
      </c>
      <c r="L178" t="s">
        <v>756</v>
      </c>
      <c r="M178" s="32" t="s">
        <v>624</v>
      </c>
      <c r="N178" s="34" t="s">
        <v>625</v>
      </c>
      <c r="O178" s="34"/>
      <c r="P178" s="31"/>
    </row>
    <row r="179" spans="1:16" x14ac:dyDescent="0.25">
      <c r="A179" s="43">
        <v>44183</v>
      </c>
      <c r="B179" s="14" t="s">
        <v>226</v>
      </c>
      <c r="C179" s="14"/>
      <c r="D179" s="16"/>
      <c r="E179" s="14"/>
      <c r="F179" s="14"/>
      <c r="G179" s="14">
        <v>-29000</v>
      </c>
      <c r="H179" s="71"/>
      <c r="I179" s="67"/>
      <c r="J179" s="24"/>
      <c r="K179" s="45"/>
      <c r="L179" t="s">
        <v>756</v>
      </c>
      <c r="M179" s="32" t="s">
        <v>621</v>
      </c>
      <c r="N179" s="33" t="s">
        <v>622</v>
      </c>
      <c r="O179" s="34"/>
      <c r="P179" s="31"/>
    </row>
    <row r="180" spans="1:16" x14ac:dyDescent="0.25">
      <c r="A180" s="43">
        <v>44183</v>
      </c>
      <c r="B180" s="14" t="s">
        <v>90</v>
      </c>
      <c r="C180" s="14" t="s">
        <v>258</v>
      </c>
      <c r="D180" s="16">
        <f>-F180*E180*0.0035</f>
        <v>147</v>
      </c>
      <c r="E180" s="14">
        <v>28</v>
      </c>
      <c r="F180" s="14">
        <v>-1500</v>
      </c>
      <c r="G180" s="14"/>
      <c r="H180" s="71"/>
      <c r="I180" s="67"/>
      <c r="J180" s="24"/>
      <c r="K180" s="45" t="s">
        <v>263</v>
      </c>
      <c r="L180" t="s">
        <v>756</v>
      </c>
      <c r="M180" s="32" t="s">
        <v>619</v>
      </c>
      <c r="N180" s="34" t="s">
        <v>620</v>
      </c>
      <c r="O180" s="34"/>
      <c r="P180" s="31"/>
    </row>
    <row r="181" spans="1:16" x14ac:dyDescent="0.25">
      <c r="A181" s="43">
        <v>44181</v>
      </c>
      <c r="B181" s="14" t="s">
        <v>90</v>
      </c>
      <c r="C181" s="14" t="s">
        <v>63</v>
      </c>
      <c r="D181" s="16">
        <f>-F181*E181*0.0035</f>
        <v>522.31899999999996</v>
      </c>
      <c r="E181" s="14">
        <v>8.99</v>
      </c>
      <c r="F181" s="14">
        <v>-16600</v>
      </c>
      <c r="G181" s="14"/>
      <c r="H181" s="71"/>
      <c r="I181" s="67"/>
      <c r="J181" s="24"/>
      <c r="K181" s="45" t="s">
        <v>261</v>
      </c>
      <c r="L181" t="s">
        <v>756</v>
      </c>
      <c r="M181" s="32" t="s">
        <v>617</v>
      </c>
      <c r="N181" s="34" t="s">
        <v>618</v>
      </c>
      <c r="O181" s="34"/>
      <c r="P181" s="31"/>
    </row>
    <row r="182" spans="1:16" x14ac:dyDescent="0.25">
      <c r="A182" s="43">
        <v>44180</v>
      </c>
      <c r="B182" s="14" t="s">
        <v>62</v>
      </c>
      <c r="C182" s="14" t="s">
        <v>258</v>
      </c>
      <c r="D182" s="16">
        <f>F182*E182*0.0025</f>
        <v>35.6875</v>
      </c>
      <c r="E182" s="14">
        <v>28.55</v>
      </c>
      <c r="F182" s="14">
        <v>500</v>
      </c>
      <c r="G182" s="14"/>
      <c r="H182" s="71"/>
      <c r="I182" s="67"/>
      <c r="J182" s="24"/>
      <c r="K182" s="45"/>
      <c r="L182" t="s">
        <v>756</v>
      </c>
      <c r="M182" s="32" t="s">
        <v>614</v>
      </c>
      <c r="N182" s="34" t="s">
        <v>615</v>
      </c>
      <c r="O182" s="34"/>
      <c r="P182" s="31"/>
    </row>
    <row r="183" spans="1:16" x14ac:dyDescent="0.25">
      <c r="A183" s="43">
        <v>44180</v>
      </c>
      <c r="B183" s="14" t="s">
        <v>62</v>
      </c>
      <c r="C183" s="14" t="s">
        <v>258</v>
      </c>
      <c r="D183" s="16">
        <f>F183*E183*0.0025</f>
        <v>71.5</v>
      </c>
      <c r="E183" s="14">
        <v>28.6</v>
      </c>
      <c r="F183" s="14">
        <v>1000</v>
      </c>
      <c r="G183" s="14">
        <v>80000</v>
      </c>
      <c r="H183" s="71"/>
      <c r="I183" s="67"/>
      <c r="J183" s="24"/>
      <c r="K183" s="45" t="s">
        <v>262</v>
      </c>
      <c r="L183" t="s">
        <v>756</v>
      </c>
      <c r="M183" s="32" t="s">
        <v>441</v>
      </c>
      <c r="N183" s="34" t="s">
        <v>443</v>
      </c>
      <c r="O183" s="34"/>
      <c r="P183" s="31"/>
    </row>
    <row r="184" spans="1:16" x14ac:dyDescent="0.25">
      <c r="A184" s="43">
        <v>44172</v>
      </c>
      <c r="B184" s="14" t="s">
        <v>62</v>
      </c>
      <c r="C184" s="14" t="s">
        <v>63</v>
      </c>
      <c r="D184" s="16">
        <f>F184*E184*0.0025</f>
        <v>12.66</v>
      </c>
      <c r="E184" s="14">
        <v>8.44</v>
      </c>
      <c r="F184" s="14">
        <v>600</v>
      </c>
      <c r="G184" s="14"/>
      <c r="H184" s="71">
        <v>8.1999999999999993</v>
      </c>
      <c r="I184" s="67"/>
      <c r="J184" s="24"/>
      <c r="K184" s="45" t="s">
        <v>255</v>
      </c>
      <c r="L184" t="s">
        <v>756</v>
      </c>
      <c r="M184" s="32" t="s">
        <v>439</v>
      </c>
      <c r="N184" s="34" t="s">
        <v>440</v>
      </c>
      <c r="O184" s="34"/>
      <c r="P184" s="31"/>
    </row>
    <row r="185" spans="1:16" x14ac:dyDescent="0.25">
      <c r="A185" s="43">
        <v>44172</v>
      </c>
      <c r="B185" s="14" t="s">
        <v>227</v>
      </c>
      <c r="C185" s="14"/>
      <c r="D185" s="16"/>
      <c r="E185" s="14"/>
      <c r="F185" s="14"/>
      <c r="G185" s="14">
        <v>5000</v>
      </c>
      <c r="H185" s="71"/>
      <c r="I185" s="67"/>
      <c r="J185" s="24"/>
      <c r="K185" s="45"/>
      <c r="L185" t="s">
        <v>756</v>
      </c>
      <c r="M185" s="32" t="s">
        <v>437</v>
      </c>
      <c r="N185" s="34" t="s">
        <v>438</v>
      </c>
      <c r="O185" s="34"/>
      <c r="P185" s="31"/>
    </row>
    <row r="186" spans="1:16" x14ac:dyDescent="0.25">
      <c r="A186" s="43">
        <v>44168</v>
      </c>
      <c r="B186" s="14" t="s">
        <v>62</v>
      </c>
      <c r="C186" s="14" t="s">
        <v>63</v>
      </c>
      <c r="D186" s="16">
        <f>F186*E186*0.0025</f>
        <v>11.595000000000001</v>
      </c>
      <c r="E186" s="14">
        <v>7.73</v>
      </c>
      <c r="F186" s="14">
        <v>600</v>
      </c>
      <c r="G186" s="14"/>
      <c r="H186" s="71"/>
      <c r="I186" s="67"/>
      <c r="J186" s="24"/>
      <c r="K186" s="45"/>
      <c r="L186" t="s">
        <v>756</v>
      </c>
      <c r="M186" s="32" t="s">
        <v>428</v>
      </c>
      <c r="N186" s="34" t="s">
        <v>429</v>
      </c>
      <c r="O186" s="34"/>
      <c r="P186" s="31"/>
    </row>
    <row r="187" spans="1:16" x14ac:dyDescent="0.25">
      <c r="A187" s="43">
        <v>44167</v>
      </c>
      <c r="B187" s="14" t="s">
        <v>227</v>
      </c>
      <c r="C187" s="14"/>
      <c r="D187" s="16"/>
      <c r="E187" s="14"/>
      <c r="F187" s="14"/>
      <c r="G187" s="14">
        <v>5000</v>
      </c>
      <c r="H187" s="71"/>
      <c r="I187" s="67"/>
      <c r="J187" s="24"/>
      <c r="K187" s="45"/>
      <c r="L187" t="s">
        <v>756</v>
      </c>
      <c r="M187" s="32" t="s">
        <v>426</v>
      </c>
      <c r="N187" s="34" t="s">
        <v>427</v>
      </c>
      <c r="O187" s="34"/>
      <c r="P187" s="31"/>
    </row>
    <row r="188" spans="1:16" x14ac:dyDescent="0.25">
      <c r="A188" s="43">
        <v>44166</v>
      </c>
      <c r="B188" s="14" t="s">
        <v>62</v>
      </c>
      <c r="C188" s="14" t="s">
        <v>63</v>
      </c>
      <c r="D188" s="16">
        <f>F188*E188*0.0025</f>
        <v>7.71</v>
      </c>
      <c r="E188" s="14">
        <v>7.71</v>
      </c>
      <c r="F188" s="14">
        <v>400</v>
      </c>
      <c r="G188" s="14"/>
      <c r="H188" s="71"/>
      <c r="I188" s="67"/>
      <c r="J188" s="24"/>
      <c r="K188" s="45"/>
      <c r="L188" t="s">
        <v>756</v>
      </c>
      <c r="M188" s="32" t="s">
        <v>424</v>
      </c>
      <c r="N188" s="34" t="s">
        <v>425</v>
      </c>
      <c r="O188" s="34"/>
      <c r="P188" s="31"/>
    </row>
    <row r="189" spans="1:16" x14ac:dyDescent="0.25">
      <c r="A189" s="43">
        <v>44159</v>
      </c>
      <c r="B189" s="14" t="s">
        <v>62</v>
      </c>
      <c r="C189" s="14" t="s">
        <v>63</v>
      </c>
      <c r="D189" s="16">
        <f>F189*E189*0.0025</f>
        <v>11.328749999999999</v>
      </c>
      <c r="E189" s="14">
        <v>7.95</v>
      </c>
      <c r="F189" s="14">
        <v>570</v>
      </c>
      <c r="G189" s="14"/>
      <c r="H189" s="71">
        <f>8.151+0.06</f>
        <v>8.2110000000000003</v>
      </c>
      <c r="I189" s="67"/>
      <c r="J189" s="24"/>
      <c r="K189" s="45" t="s">
        <v>254</v>
      </c>
      <c r="L189" t="s">
        <v>756</v>
      </c>
      <c r="M189" s="32" t="s">
        <v>422</v>
      </c>
      <c r="N189" s="34" t="s">
        <v>423</v>
      </c>
      <c r="O189" s="34"/>
      <c r="P189" s="31"/>
    </row>
    <row r="190" spans="1:16" x14ac:dyDescent="0.25">
      <c r="A190" s="43">
        <v>44158</v>
      </c>
      <c r="B190" s="14" t="s">
        <v>227</v>
      </c>
      <c r="C190" s="14"/>
      <c r="D190" s="16"/>
      <c r="E190" s="14"/>
      <c r="F190" s="14"/>
      <c r="G190" s="14">
        <v>7500</v>
      </c>
      <c r="H190" s="71"/>
      <c r="I190" s="67"/>
      <c r="J190" s="24"/>
      <c r="K190" s="45" t="s">
        <v>253</v>
      </c>
      <c r="L190" t="s">
        <v>756</v>
      </c>
      <c r="M190" s="32" t="s">
        <v>420</v>
      </c>
      <c r="N190" s="34" t="s">
        <v>421</v>
      </c>
      <c r="O190" s="34"/>
      <c r="P190" s="31"/>
    </row>
    <row r="191" spans="1:16" x14ac:dyDescent="0.25">
      <c r="A191" s="42"/>
      <c r="B191" s="14" t="s">
        <v>90</v>
      </c>
      <c r="C191" s="14" t="s">
        <v>189</v>
      </c>
      <c r="D191" s="16">
        <f>-F191*E191*0.0035</f>
        <v>0.84699999999999998</v>
      </c>
      <c r="E191" s="14">
        <v>12.1</v>
      </c>
      <c r="F191" s="14">
        <v>-20</v>
      </c>
      <c r="G191" s="14"/>
      <c r="H191" s="71"/>
      <c r="I191" s="67"/>
      <c r="J191" s="24"/>
      <c r="K191" s="45"/>
      <c r="L191" t="s">
        <v>756</v>
      </c>
      <c r="M191" s="32" t="s">
        <v>417</v>
      </c>
      <c r="N191" s="34" t="s">
        <v>419</v>
      </c>
      <c r="O191" s="34"/>
      <c r="P191" s="31"/>
    </row>
    <row r="192" spans="1:16" x14ac:dyDescent="0.25">
      <c r="A192" s="43">
        <v>44126</v>
      </c>
      <c r="B192" s="14" t="s">
        <v>62</v>
      </c>
      <c r="C192" s="14" t="s">
        <v>63</v>
      </c>
      <c r="D192" s="16">
        <f>F192*E192*0.0025</f>
        <v>31.377500000000001</v>
      </c>
      <c r="E192" s="14">
        <v>7.7</v>
      </c>
      <c r="F192" s="14">
        <v>1630</v>
      </c>
      <c r="G192" s="14"/>
      <c r="H192" s="71"/>
      <c r="I192" s="67"/>
      <c r="J192" s="24"/>
      <c r="K192" s="45"/>
      <c r="L192" t="s">
        <v>756</v>
      </c>
      <c r="M192" s="64" t="s">
        <v>415</v>
      </c>
      <c r="N192" s="34" t="s">
        <v>416</v>
      </c>
      <c r="O192" s="34"/>
      <c r="P192" s="31"/>
    </row>
    <row r="193" spans="1:20" x14ac:dyDescent="0.25">
      <c r="A193" s="43">
        <v>44126</v>
      </c>
      <c r="B193" s="14" t="s">
        <v>227</v>
      </c>
      <c r="C193" s="14"/>
      <c r="D193" s="16"/>
      <c r="E193" s="14"/>
      <c r="F193" s="14"/>
      <c r="G193" s="14">
        <v>12500</v>
      </c>
      <c r="H193" s="71"/>
      <c r="I193" s="67"/>
      <c r="J193" s="24"/>
      <c r="K193" s="45"/>
      <c r="L193" t="s">
        <v>756</v>
      </c>
      <c r="M193" s="32" t="s">
        <v>410</v>
      </c>
      <c r="N193" s="34" t="s">
        <v>414</v>
      </c>
      <c r="O193" s="34"/>
      <c r="P193" s="31"/>
    </row>
    <row r="194" spans="1:20" x14ac:dyDescent="0.25">
      <c r="A194" s="43">
        <v>44119</v>
      </c>
      <c r="B194" s="14" t="s">
        <v>62</v>
      </c>
      <c r="C194" s="14" t="s">
        <v>63</v>
      </c>
      <c r="D194" s="16">
        <f>F194*E194*0.0025</f>
        <v>25.35</v>
      </c>
      <c r="E194" s="14">
        <v>7.8</v>
      </c>
      <c r="F194" s="14">
        <v>1300</v>
      </c>
      <c r="G194" s="14"/>
      <c r="H194" s="71">
        <v>8.2200000000000006</v>
      </c>
      <c r="I194" s="67"/>
      <c r="J194" s="24"/>
      <c r="K194" s="45" t="s">
        <v>250</v>
      </c>
      <c r="L194" t="s">
        <v>756</v>
      </c>
      <c r="M194" s="32" t="s">
        <v>406</v>
      </c>
      <c r="N194" s="34" t="s">
        <v>409</v>
      </c>
      <c r="O194" s="34"/>
      <c r="P194" s="31"/>
    </row>
    <row r="195" spans="1:20" x14ac:dyDescent="0.25">
      <c r="A195" s="43">
        <v>44103</v>
      </c>
      <c r="B195" s="14" t="s">
        <v>227</v>
      </c>
      <c r="C195" s="14"/>
      <c r="D195" s="16"/>
      <c r="E195" s="14"/>
      <c r="F195" s="14"/>
      <c r="G195" s="14">
        <v>6800</v>
      </c>
      <c r="H195" s="71"/>
      <c r="I195" s="67"/>
      <c r="J195" s="24"/>
      <c r="K195" s="45" t="s">
        <v>249</v>
      </c>
      <c r="L195" t="s">
        <v>756</v>
      </c>
      <c r="M195" s="32" t="s">
        <v>403</v>
      </c>
      <c r="N195" s="34" t="s">
        <v>404</v>
      </c>
      <c r="O195" s="34"/>
      <c r="P195" s="31"/>
    </row>
    <row r="196" spans="1:20" x14ac:dyDescent="0.25">
      <c r="A196" s="43">
        <v>44077</v>
      </c>
      <c r="B196" s="14" t="s">
        <v>62</v>
      </c>
      <c r="C196" s="14" t="s">
        <v>63</v>
      </c>
      <c r="D196" s="16">
        <f>F196*E196*0.0025</f>
        <v>60.6</v>
      </c>
      <c r="E196" s="14">
        <v>8.08</v>
      </c>
      <c r="F196" s="14">
        <v>3000</v>
      </c>
      <c r="G196" s="14"/>
      <c r="H196" s="71">
        <v>8.2650000000000006</v>
      </c>
      <c r="I196" s="67"/>
      <c r="J196" s="24"/>
      <c r="K196" s="45" t="s">
        <v>244</v>
      </c>
      <c r="L196" t="s">
        <v>756</v>
      </c>
      <c r="M196" s="32" t="s">
        <v>399</v>
      </c>
      <c r="N196" s="34" t="s">
        <v>402</v>
      </c>
      <c r="O196" s="34"/>
      <c r="P196" s="31"/>
    </row>
    <row r="197" spans="1:20" x14ac:dyDescent="0.25">
      <c r="A197" s="43">
        <v>44077</v>
      </c>
      <c r="B197" s="14" t="s">
        <v>90</v>
      </c>
      <c r="C197" s="14" t="s">
        <v>229</v>
      </c>
      <c r="D197" s="16">
        <f>-F197*E197*0.0035</f>
        <v>69.3</v>
      </c>
      <c r="E197" s="14">
        <v>19.8</v>
      </c>
      <c r="F197" s="14">
        <v>-1000</v>
      </c>
      <c r="G197" s="14"/>
      <c r="H197" s="71"/>
      <c r="I197" s="67"/>
      <c r="J197" s="24"/>
      <c r="K197" s="45"/>
      <c r="L197" t="s">
        <v>756</v>
      </c>
      <c r="M197" s="32" t="s">
        <v>397</v>
      </c>
      <c r="N197" s="34" t="s">
        <v>398</v>
      </c>
      <c r="O197" s="34"/>
      <c r="P197" s="31"/>
    </row>
    <row r="198" spans="1:20" x14ac:dyDescent="0.25">
      <c r="A198" s="43">
        <v>44071</v>
      </c>
      <c r="B198" s="14" t="s">
        <v>62</v>
      </c>
      <c r="C198" s="14" t="s">
        <v>63</v>
      </c>
      <c r="D198" s="16">
        <f>F198*E198*0.0025</f>
        <v>97.256250000000009</v>
      </c>
      <c r="E198" s="14">
        <v>8.19</v>
      </c>
      <c r="F198" s="14">
        <v>4750</v>
      </c>
      <c r="G198" s="14"/>
      <c r="H198" s="71"/>
      <c r="I198" s="67"/>
      <c r="J198" s="24"/>
      <c r="K198" s="45" t="s">
        <v>241</v>
      </c>
      <c r="L198" t="s">
        <v>756</v>
      </c>
      <c r="M198" s="32" t="s">
        <v>395</v>
      </c>
      <c r="N198" s="34" t="s">
        <v>396</v>
      </c>
      <c r="O198" s="34"/>
      <c r="P198" s="31"/>
    </row>
    <row r="199" spans="1:20" x14ac:dyDescent="0.25">
      <c r="A199" s="43">
        <v>44071</v>
      </c>
      <c r="B199" s="14" t="s">
        <v>62</v>
      </c>
      <c r="C199" s="14" t="s">
        <v>63</v>
      </c>
      <c r="D199" s="16">
        <f>F199*E199*0.0025</f>
        <v>14.349999999999998</v>
      </c>
      <c r="E199" s="14">
        <v>8.1999999999999993</v>
      </c>
      <c r="F199" s="14">
        <v>700</v>
      </c>
      <c r="G199" s="14">
        <v>4200</v>
      </c>
      <c r="H199" s="71"/>
      <c r="I199" s="67"/>
      <c r="J199" s="24"/>
      <c r="K199" s="45" t="s">
        <v>239</v>
      </c>
      <c r="L199" t="s">
        <v>756</v>
      </c>
      <c r="M199" s="32" t="s">
        <v>393</v>
      </c>
      <c r="N199" s="34" t="s">
        <v>394</v>
      </c>
      <c r="O199" s="34"/>
      <c r="P199" s="31"/>
    </row>
    <row r="200" spans="1:20" x14ac:dyDescent="0.25">
      <c r="A200" s="43">
        <v>44071</v>
      </c>
      <c r="B200" s="14" t="s">
        <v>90</v>
      </c>
      <c r="C200" s="14" t="s">
        <v>229</v>
      </c>
      <c r="D200" s="16">
        <f>-F200*E200*0.0035</f>
        <v>27.3</v>
      </c>
      <c r="E200" s="14">
        <v>19.5</v>
      </c>
      <c r="F200" s="14">
        <v>-400</v>
      </c>
      <c r="G200" s="14"/>
      <c r="H200" s="71"/>
      <c r="I200" s="67"/>
      <c r="J200" s="24"/>
      <c r="K200" s="45"/>
      <c r="L200" t="s">
        <v>756</v>
      </c>
      <c r="M200" s="32" t="s">
        <v>388</v>
      </c>
      <c r="N200" s="34" t="s">
        <v>389</v>
      </c>
      <c r="O200" s="34"/>
      <c r="P200" s="31"/>
    </row>
    <row r="201" spans="1:20" x14ac:dyDescent="0.25">
      <c r="A201" s="43">
        <v>44071</v>
      </c>
      <c r="B201" s="14" t="s">
        <v>90</v>
      </c>
      <c r="C201" s="14" t="s">
        <v>232</v>
      </c>
      <c r="D201" s="16">
        <f>-F201*E201*0.0035</f>
        <v>121.73</v>
      </c>
      <c r="E201" s="14">
        <v>7.4</v>
      </c>
      <c r="F201" s="14">
        <v>-4700</v>
      </c>
      <c r="G201" s="14"/>
      <c r="H201" s="71"/>
      <c r="I201" s="67"/>
      <c r="J201" s="24"/>
      <c r="K201" s="45" t="s">
        <v>240</v>
      </c>
      <c r="L201" t="s">
        <v>756</v>
      </c>
      <c r="M201" s="32" t="s">
        <v>385</v>
      </c>
      <c r="N201" s="34" t="s">
        <v>386</v>
      </c>
      <c r="O201" s="34"/>
      <c r="P201" s="31"/>
    </row>
    <row r="202" spans="1:20" x14ac:dyDescent="0.25">
      <c r="A202" s="43">
        <v>44069</v>
      </c>
      <c r="B202" s="14" t="s">
        <v>62</v>
      </c>
      <c r="C202" s="14" t="s">
        <v>63</v>
      </c>
      <c r="D202" s="16">
        <f>F202*E202*0.0025</f>
        <v>42.9</v>
      </c>
      <c r="E202" s="14">
        <v>8.58</v>
      </c>
      <c r="F202" s="14">
        <v>2000</v>
      </c>
      <c r="G202" s="14"/>
      <c r="H202" s="71"/>
      <c r="I202" s="67"/>
      <c r="J202" s="24"/>
      <c r="K202" s="45" t="s">
        <v>238</v>
      </c>
      <c r="L202" t="s">
        <v>756</v>
      </c>
      <c r="M202" s="62" t="s">
        <v>383</v>
      </c>
      <c r="N202" s="34" t="s">
        <v>384</v>
      </c>
      <c r="O202" s="34"/>
      <c r="P202" s="31"/>
    </row>
    <row r="203" spans="1:20" x14ac:dyDescent="0.25">
      <c r="A203" s="43">
        <v>44069</v>
      </c>
      <c r="B203" s="14" t="s">
        <v>62</v>
      </c>
      <c r="C203" s="14" t="s">
        <v>63</v>
      </c>
      <c r="D203" s="16">
        <f>F203*E203*0.0025</f>
        <v>21.5</v>
      </c>
      <c r="E203" s="14">
        <v>8.6</v>
      </c>
      <c r="F203" s="14">
        <v>1000</v>
      </c>
      <c r="G203" s="14"/>
      <c r="H203" s="71"/>
      <c r="I203" s="67"/>
      <c r="J203" s="24"/>
      <c r="K203" s="45" t="s">
        <v>237</v>
      </c>
      <c r="L203" t="s">
        <v>756</v>
      </c>
      <c r="M203" s="32" t="s">
        <v>380</v>
      </c>
      <c r="N203" s="34" t="s">
        <v>381</v>
      </c>
      <c r="O203" s="34"/>
      <c r="P203" s="31"/>
    </row>
    <row r="204" spans="1:20" x14ac:dyDescent="0.25">
      <c r="A204" s="43">
        <v>44069</v>
      </c>
      <c r="B204" s="14" t="s">
        <v>90</v>
      </c>
      <c r="C204" s="14" t="s">
        <v>229</v>
      </c>
      <c r="D204" s="16">
        <f>-F204*E204*0.0035</f>
        <v>6.58</v>
      </c>
      <c r="E204" s="14">
        <v>18.8</v>
      </c>
      <c r="F204" s="14">
        <v>-100</v>
      </c>
      <c r="G204" s="14">
        <v>30100</v>
      </c>
      <c r="H204" s="71"/>
      <c r="I204" s="67"/>
      <c r="J204" s="24"/>
      <c r="K204" s="45" t="s">
        <v>236</v>
      </c>
      <c r="L204" t="s">
        <v>756</v>
      </c>
      <c r="M204" s="32" t="s">
        <v>378</v>
      </c>
      <c r="N204" s="34" t="s">
        <v>379</v>
      </c>
      <c r="O204" s="34"/>
      <c r="P204" s="31"/>
    </row>
    <row r="205" spans="1:20" x14ac:dyDescent="0.25">
      <c r="A205" s="43">
        <v>44068</v>
      </c>
      <c r="B205" s="14" t="s">
        <v>62</v>
      </c>
      <c r="C205" s="14" t="s">
        <v>63</v>
      </c>
      <c r="D205" s="16">
        <f>F205*E205*0.0025</f>
        <v>1.0049999999999999</v>
      </c>
      <c r="E205" s="14">
        <v>8.0399999999999991</v>
      </c>
      <c r="F205" s="14">
        <v>50</v>
      </c>
      <c r="G205" s="14"/>
      <c r="H205" s="71"/>
      <c r="I205" s="67"/>
      <c r="J205" s="24"/>
      <c r="K205" s="45" t="s">
        <v>235</v>
      </c>
      <c r="L205" t="s">
        <v>756</v>
      </c>
      <c r="M205" s="32" t="s">
        <v>375</v>
      </c>
      <c r="N205" s="34" t="s">
        <v>376</v>
      </c>
      <c r="O205" s="34"/>
      <c r="P205" s="31"/>
    </row>
    <row r="206" spans="1:20" x14ac:dyDescent="0.25">
      <c r="A206" s="43">
        <v>44068</v>
      </c>
      <c r="B206" s="14" t="s">
        <v>62</v>
      </c>
      <c r="C206" s="14" t="s">
        <v>232</v>
      </c>
      <c r="D206" s="16">
        <f>F206*E206*0.0025</f>
        <v>76.650000000000006</v>
      </c>
      <c r="E206" s="14">
        <v>7.3</v>
      </c>
      <c r="F206" s="14">
        <v>4200</v>
      </c>
      <c r="G206" s="14"/>
      <c r="H206" s="71"/>
      <c r="I206" s="67"/>
      <c r="J206" s="24"/>
      <c r="K206" s="45" t="s">
        <v>234</v>
      </c>
      <c r="L206" t="s">
        <v>756</v>
      </c>
      <c r="M206" s="32" t="s">
        <v>371</v>
      </c>
      <c r="N206" s="34" t="s">
        <v>373</v>
      </c>
      <c r="O206" s="34"/>
      <c r="P206" s="31"/>
      <c r="T206" s="31"/>
    </row>
    <row r="207" spans="1:20" x14ac:dyDescent="0.25">
      <c r="A207" s="43">
        <v>44067</v>
      </c>
      <c r="B207" s="14" t="s">
        <v>62</v>
      </c>
      <c r="C207" s="14" t="s">
        <v>232</v>
      </c>
      <c r="D207" s="16">
        <f>F207*E207*0.0025</f>
        <v>8.875</v>
      </c>
      <c r="E207" s="14">
        <v>7.1</v>
      </c>
      <c r="F207" s="14">
        <v>500</v>
      </c>
      <c r="G207" s="14"/>
      <c r="H207" s="71"/>
      <c r="I207" s="67"/>
      <c r="J207" s="24"/>
      <c r="K207" s="45" t="s">
        <v>233</v>
      </c>
      <c r="L207" t="s">
        <v>756</v>
      </c>
      <c r="M207" s="32" t="s">
        <v>369</v>
      </c>
      <c r="N207" s="34" t="s">
        <v>370</v>
      </c>
      <c r="O207" s="34"/>
      <c r="P207" s="31"/>
      <c r="T207" s="31"/>
    </row>
    <row r="208" spans="1:20" x14ac:dyDescent="0.25">
      <c r="A208" s="43">
        <v>44067</v>
      </c>
      <c r="B208" s="14" t="s">
        <v>62</v>
      </c>
      <c r="C208" s="14" t="s">
        <v>229</v>
      </c>
      <c r="D208" s="16">
        <f>F208*E208*0.0025</f>
        <v>64.75</v>
      </c>
      <c r="E208" s="14">
        <v>18.5</v>
      </c>
      <c r="F208" s="14">
        <v>1400</v>
      </c>
      <c r="G208" s="14">
        <v>30000</v>
      </c>
      <c r="H208" s="71"/>
      <c r="I208" s="67"/>
      <c r="J208" s="24"/>
      <c r="K208" s="45" t="s">
        <v>231</v>
      </c>
      <c r="L208" t="s">
        <v>756</v>
      </c>
      <c r="M208" s="32" t="s">
        <v>365</v>
      </c>
      <c r="N208" s="34" t="s">
        <v>368</v>
      </c>
      <c r="O208" s="34"/>
      <c r="P208" s="31"/>
    </row>
    <row r="209" spans="1:16" x14ac:dyDescent="0.25">
      <c r="A209" s="43">
        <v>44057</v>
      </c>
      <c r="B209" s="14" t="s">
        <v>62</v>
      </c>
      <c r="C209" s="14" t="s">
        <v>229</v>
      </c>
      <c r="D209" s="16">
        <f>F209*E209*0.0025</f>
        <v>4.625</v>
      </c>
      <c r="E209" s="14">
        <v>18.5</v>
      </c>
      <c r="F209" s="14">
        <v>100</v>
      </c>
      <c r="G209" s="14"/>
      <c r="H209" s="71"/>
      <c r="I209" s="67"/>
      <c r="J209" s="24"/>
      <c r="K209" s="45" t="s">
        <v>230</v>
      </c>
      <c r="L209" t="s">
        <v>756</v>
      </c>
      <c r="M209" s="32" t="s">
        <v>363</v>
      </c>
      <c r="N209" s="34" t="s">
        <v>364</v>
      </c>
      <c r="O209" s="34"/>
      <c r="P209" s="31"/>
    </row>
    <row r="210" spans="1:16" x14ac:dyDescent="0.25">
      <c r="A210" s="43">
        <v>44055</v>
      </c>
      <c r="B210" t="s">
        <v>90</v>
      </c>
      <c r="C210" s="14" t="s">
        <v>189</v>
      </c>
      <c r="D210" s="16">
        <f>-F210*E210*0.0035</f>
        <v>6.4399999999999995</v>
      </c>
      <c r="E210" s="14">
        <v>9.1999999999999993</v>
      </c>
      <c r="F210" s="14">
        <v>-200</v>
      </c>
      <c r="G210" s="14"/>
      <c r="H210" s="71"/>
      <c r="I210" s="67"/>
      <c r="J210" s="24"/>
      <c r="K210" s="45" t="s">
        <v>228</v>
      </c>
      <c r="L210" t="s">
        <v>756</v>
      </c>
      <c r="M210" s="32" t="s">
        <v>357</v>
      </c>
      <c r="N210" s="34" t="s">
        <v>358</v>
      </c>
      <c r="O210" s="34"/>
      <c r="P210" s="31"/>
    </row>
    <row r="211" spans="1:16" x14ac:dyDescent="0.25">
      <c r="A211" s="43">
        <v>44055</v>
      </c>
      <c r="B211" s="14" t="s">
        <v>226</v>
      </c>
      <c r="C211" s="14"/>
      <c r="D211" s="16"/>
      <c r="E211" s="14"/>
      <c r="F211" s="14"/>
      <c r="G211" s="14">
        <v>-90000</v>
      </c>
      <c r="H211" s="71"/>
      <c r="I211" s="67"/>
      <c r="J211" s="24"/>
      <c r="K211" s="45"/>
      <c r="L211" t="s">
        <v>756</v>
      </c>
      <c r="M211" s="32" t="s">
        <v>354</v>
      </c>
      <c r="N211" s="34" t="s">
        <v>355</v>
      </c>
      <c r="O211" s="34"/>
      <c r="P211" s="31"/>
    </row>
    <row r="212" spans="1:16" x14ac:dyDescent="0.25">
      <c r="A212" s="43">
        <v>44053</v>
      </c>
      <c r="B212" t="s">
        <v>90</v>
      </c>
      <c r="C212" s="14" t="s">
        <v>189</v>
      </c>
      <c r="D212" s="16">
        <f>-F212*E212*0.0035</f>
        <v>317.99669999999998</v>
      </c>
      <c r="E212" s="14">
        <v>9.2899999999999991</v>
      </c>
      <c r="F212" s="14">
        <v>-9780</v>
      </c>
      <c r="G212" s="14"/>
      <c r="H212" s="71">
        <v>9.2799999999999994</v>
      </c>
      <c r="I212" s="67"/>
      <c r="J212" s="24"/>
      <c r="K212" s="45" t="s">
        <v>225</v>
      </c>
      <c r="L212" t="s">
        <v>756</v>
      </c>
      <c r="M212" s="32" t="s">
        <v>339</v>
      </c>
      <c r="N212" s="34" t="s">
        <v>340</v>
      </c>
      <c r="O212" s="34"/>
      <c r="P212" s="31"/>
    </row>
    <row r="213" spans="1:16" x14ac:dyDescent="0.25">
      <c r="A213" s="43">
        <v>44050</v>
      </c>
      <c r="B213" s="14" t="s">
        <v>62</v>
      </c>
      <c r="C213" s="14" t="s">
        <v>189</v>
      </c>
      <c r="D213" s="16">
        <f>F213*E213*0.0025</f>
        <v>4.9995000000000003</v>
      </c>
      <c r="E213" s="14">
        <v>9.09</v>
      </c>
      <c r="F213" s="14">
        <v>220</v>
      </c>
      <c r="G213" s="14"/>
      <c r="H213" s="71">
        <f>8.89+0.06</f>
        <v>8.9500000000000011</v>
      </c>
      <c r="I213" s="67"/>
      <c r="J213" s="24"/>
      <c r="K213" s="45" t="s">
        <v>222</v>
      </c>
      <c r="L213" t="s">
        <v>756</v>
      </c>
      <c r="M213" s="32" t="s">
        <v>335</v>
      </c>
      <c r="N213" s="34" t="s">
        <v>336</v>
      </c>
      <c r="O213" s="34"/>
      <c r="P213" s="31"/>
    </row>
    <row r="214" spans="1:16" x14ac:dyDescent="0.25">
      <c r="A214" s="43">
        <v>44050</v>
      </c>
      <c r="B214" s="14" t="s">
        <v>227</v>
      </c>
      <c r="C214" s="14"/>
      <c r="D214" s="16"/>
      <c r="E214" s="14"/>
      <c r="F214" s="14"/>
      <c r="G214" s="14">
        <v>1900</v>
      </c>
      <c r="H214" s="71"/>
      <c r="I214" s="67"/>
      <c r="J214" s="24"/>
      <c r="K214" s="45"/>
      <c r="L214" t="s">
        <v>756</v>
      </c>
      <c r="M214" s="32" t="s">
        <v>333</v>
      </c>
      <c r="N214" s="34" t="s">
        <v>334</v>
      </c>
      <c r="O214" s="34"/>
      <c r="P214" s="31"/>
    </row>
    <row r="215" spans="1:16" x14ac:dyDescent="0.25">
      <c r="A215" s="43">
        <v>44047</v>
      </c>
      <c r="B215" s="14" t="s">
        <v>62</v>
      </c>
      <c r="C215" s="14" t="s">
        <v>189</v>
      </c>
      <c r="D215" s="16">
        <f>F215*E215*0.0025</f>
        <v>61.5075</v>
      </c>
      <c r="E215" s="14">
        <v>8.85</v>
      </c>
      <c r="F215" s="14">
        <v>2780</v>
      </c>
      <c r="G215" s="14"/>
      <c r="H215" s="71">
        <v>8.89</v>
      </c>
      <c r="I215" s="67"/>
      <c r="J215" s="24"/>
      <c r="K215" s="45" t="s">
        <v>217</v>
      </c>
      <c r="L215" t="s">
        <v>756</v>
      </c>
      <c r="M215" s="32" t="s">
        <v>327</v>
      </c>
      <c r="N215" s="34" t="s">
        <v>328</v>
      </c>
      <c r="O215" s="34"/>
      <c r="P215" s="31"/>
    </row>
    <row r="216" spans="1:16" x14ac:dyDescent="0.25">
      <c r="A216" s="43">
        <v>44047</v>
      </c>
      <c r="B216" s="14" t="s">
        <v>62</v>
      </c>
      <c r="C216" s="14" t="s">
        <v>189</v>
      </c>
      <c r="D216" s="16">
        <f>F216*E216*0.0025</f>
        <v>155.75</v>
      </c>
      <c r="E216" s="14">
        <v>8.9</v>
      </c>
      <c r="F216" s="14">
        <v>7000</v>
      </c>
      <c r="G216" s="14"/>
      <c r="H216" s="71"/>
      <c r="I216" s="67"/>
      <c r="J216" s="24"/>
      <c r="K216" s="45" t="s">
        <v>220</v>
      </c>
      <c r="L216" t="s">
        <v>756</v>
      </c>
      <c r="M216" s="32" t="s">
        <v>324</v>
      </c>
      <c r="N216" s="34" t="s">
        <v>325</v>
      </c>
      <c r="O216" s="34"/>
      <c r="P216" s="31"/>
    </row>
    <row r="217" spans="1:16" x14ac:dyDescent="0.25">
      <c r="A217" s="43">
        <v>44047</v>
      </c>
      <c r="B217" s="14" t="s">
        <v>227</v>
      </c>
      <c r="C217" s="14"/>
      <c r="D217" s="16"/>
      <c r="E217" s="14"/>
      <c r="F217" s="14"/>
      <c r="G217" s="14">
        <v>7200</v>
      </c>
      <c r="H217" s="71"/>
      <c r="I217" s="67"/>
      <c r="J217" s="24"/>
      <c r="K217" s="45"/>
      <c r="L217" t="s">
        <v>756</v>
      </c>
      <c r="M217" s="32" t="s">
        <v>317</v>
      </c>
      <c r="N217" s="34" t="s">
        <v>322</v>
      </c>
      <c r="O217" s="34"/>
      <c r="P217" s="31"/>
    </row>
    <row r="218" spans="1:16" x14ac:dyDescent="0.25">
      <c r="A218" s="43">
        <v>44042</v>
      </c>
      <c r="B218" s="14" t="s">
        <v>90</v>
      </c>
      <c r="C218" s="14" t="s">
        <v>189</v>
      </c>
      <c r="D218" s="16">
        <f>-F218*E218*0.0035</f>
        <v>88.724999999999994</v>
      </c>
      <c r="E218" s="14">
        <v>8.4499999999999993</v>
      </c>
      <c r="F218" s="14">
        <v>-3000</v>
      </c>
      <c r="G218" s="14"/>
      <c r="H218" s="71"/>
      <c r="I218" s="67"/>
      <c r="J218" s="24"/>
      <c r="K218" s="45">
        <f>E218*-F218-E219*F219-D218-D219</f>
        <v>900.52499999999634</v>
      </c>
      <c r="L218" t="s">
        <v>756</v>
      </c>
      <c r="M218" s="32" t="s">
        <v>313</v>
      </c>
      <c r="N218" s="34" t="s">
        <v>314</v>
      </c>
      <c r="O218" s="34"/>
      <c r="P218" s="31"/>
    </row>
    <row r="219" spans="1:16" x14ac:dyDescent="0.25">
      <c r="A219" s="43">
        <v>44039</v>
      </c>
      <c r="B219" s="14" t="s">
        <v>62</v>
      </c>
      <c r="C219" s="14" t="s">
        <v>189</v>
      </c>
      <c r="D219" s="16">
        <f>F219*E219*0.0025</f>
        <v>60.75</v>
      </c>
      <c r="E219" s="14">
        <v>8.1</v>
      </c>
      <c r="F219" s="14">
        <v>3000</v>
      </c>
      <c r="G219" s="14"/>
      <c r="H219" s="71"/>
      <c r="I219" s="67"/>
      <c r="J219" s="24"/>
      <c r="K219" s="45" t="s">
        <v>213</v>
      </c>
      <c r="L219" t="s">
        <v>756</v>
      </c>
      <c r="M219" s="32" t="s">
        <v>309</v>
      </c>
      <c r="N219" s="34" t="s">
        <v>310</v>
      </c>
      <c r="O219" s="34"/>
      <c r="P219" s="31"/>
    </row>
    <row r="220" spans="1:16" x14ac:dyDescent="0.25">
      <c r="A220" s="43">
        <v>44036</v>
      </c>
      <c r="B220" s="14" t="s">
        <v>90</v>
      </c>
      <c r="C220" s="14" t="s">
        <v>206</v>
      </c>
      <c r="D220" s="16">
        <f>-F220*E220*0.0035</f>
        <v>16.940000000000001</v>
      </c>
      <c r="E220" s="14">
        <v>24.2</v>
      </c>
      <c r="F220" s="14">
        <v>-200</v>
      </c>
      <c r="G220" s="14"/>
      <c r="H220" s="71"/>
      <c r="I220" s="67"/>
      <c r="J220" s="24"/>
      <c r="K220" s="45" t="s">
        <v>210</v>
      </c>
      <c r="L220" t="s">
        <v>756</v>
      </c>
      <c r="M220" s="32" t="s">
        <v>307</v>
      </c>
      <c r="N220" s="34" t="s">
        <v>308</v>
      </c>
      <c r="O220" s="34"/>
      <c r="P220" s="31"/>
    </row>
    <row r="221" spans="1:16" x14ac:dyDescent="0.25">
      <c r="A221" s="43">
        <v>44036</v>
      </c>
      <c r="B221" s="14" t="s">
        <v>90</v>
      </c>
      <c r="C221" s="14" t="s">
        <v>207</v>
      </c>
      <c r="D221" s="16">
        <f>-F221*E221*0.0035</f>
        <v>12.285</v>
      </c>
      <c r="E221" s="14">
        <v>7.02</v>
      </c>
      <c r="F221" s="14">
        <v>-500</v>
      </c>
      <c r="G221" s="14"/>
      <c r="H221" s="71"/>
      <c r="I221" s="67"/>
      <c r="J221" s="24"/>
      <c r="K221" s="47" t="s">
        <v>211</v>
      </c>
      <c r="L221" t="s">
        <v>756</v>
      </c>
      <c r="M221" s="32" t="s">
        <v>302</v>
      </c>
      <c r="N221" s="34" t="s">
        <v>305</v>
      </c>
      <c r="O221" s="34"/>
      <c r="P221" s="31"/>
    </row>
    <row r="222" spans="1:16" x14ac:dyDescent="0.25">
      <c r="A222" s="43">
        <v>44036</v>
      </c>
      <c r="B222" s="14" t="s">
        <v>90</v>
      </c>
      <c r="C222" s="14" t="s">
        <v>189</v>
      </c>
      <c r="D222" s="16">
        <f>-F222*E222*0.0035</f>
        <v>31.675000000000001</v>
      </c>
      <c r="E222" s="14">
        <v>9.0500000000000007</v>
      </c>
      <c r="F222" s="14">
        <v>-1000</v>
      </c>
      <c r="G222" s="14"/>
      <c r="H222" s="71"/>
      <c r="I222" s="67"/>
      <c r="J222" s="24"/>
      <c r="K222" s="45"/>
      <c r="L222" t="s">
        <v>756</v>
      </c>
      <c r="M222" s="32" t="s">
        <v>296</v>
      </c>
      <c r="N222" s="34" t="s">
        <v>300</v>
      </c>
      <c r="O222" s="34"/>
      <c r="P222" s="31"/>
    </row>
    <row r="223" spans="1:16" x14ac:dyDescent="0.25">
      <c r="A223" s="43">
        <v>44033</v>
      </c>
      <c r="B223" s="14" t="s">
        <v>62</v>
      </c>
      <c r="C223" s="14" t="s">
        <v>206</v>
      </c>
      <c r="D223" s="16">
        <f>F223*E223*0.0025</f>
        <v>12.325000000000001</v>
      </c>
      <c r="E223" s="14">
        <v>24.65</v>
      </c>
      <c r="F223" s="14">
        <v>200</v>
      </c>
      <c r="G223" s="14"/>
      <c r="H223" s="71"/>
      <c r="I223" s="67"/>
      <c r="J223" s="24"/>
      <c r="K223" s="45"/>
      <c r="L223" t="s">
        <v>756</v>
      </c>
      <c r="M223" s="32" t="s">
        <v>299</v>
      </c>
      <c r="N223" s="34" t="s">
        <v>297</v>
      </c>
      <c r="O223" s="34"/>
      <c r="P223" s="31"/>
    </row>
    <row r="224" spans="1:16" x14ac:dyDescent="0.25">
      <c r="A224" s="43">
        <v>44033</v>
      </c>
      <c r="B224" s="14" t="s">
        <v>62</v>
      </c>
      <c r="C224" s="14" t="s">
        <v>207</v>
      </c>
      <c r="D224" s="16">
        <f>F224*E224*0.0025</f>
        <v>8.8375000000000004</v>
      </c>
      <c r="E224" s="14">
        <v>7.07</v>
      </c>
      <c r="F224" s="14">
        <v>500</v>
      </c>
      <c r="G224" s="14"/>
      <c r="H224" s="71"/>
      <c r="I224" s="67"/>
      <c r="J224" s="24"/>
      <c r="K224" s="45"/>
      <c r="L224" t="s">
        <v>756</v>
      </c>
      <c r="M224" s="32" t="s">
        <v>277</v>
      </c>
      <c r="N224" s="33"/>
      <c r="O224" s="34" t="s">
        <v>291</v>
      </c>
      <c r="P224" s="31"/>
    </row>
    <row r="225" spans="1:17" x14ac:dyDescent="0.25">
      <c r="A225" s="43">
        <v>44033</v>
      </c>
      <c r="B225" s="14" t="s">
        <v>62</v>
      </c>
      <c r="C225" s="14" t="s">
        <v>189</v>
      </c>
      <c r="D225" s="16">
        <f>F225*E225*0.0025</f>
        <v>22.725000000000001</v>
      </c>
      <c r="E225" s="14">
        <v>9.09</v>
      </c>
      <c r="F225" s="14">
        <v>1000</v>
      </c>
      <c r="G225" s="14"/>
      <c r="H225" s="71"/>
      <c r="I225" s="67"/>
      <c r="J225" s="24"/>
      <c r="K225" s="45" t="s">
        <v>209</v>
      </c>
      <c r="L225" t="s">
        <v>756</v>
      </c>
      <c r="M225" s="32" t="s">
        <v>259</v>
      </c>
      <c r="N225" s="33"/>
      <c r="O225" s="34" t="s">
        <v>260</v>
      </c>
      <c r="P225" s="31"/>
    </row>
    <row r="226" spans="1:17" x14ac:dyDescent="0.25">
      <c r="A226" s="43">
        <v>44026</v>
      </c>
      <c r="B226" s="14" t="s">
        <v>90</v>
      </c>
      <c r="C226" s="14" t="s">
        <v>189</v>
      </c>
      <c r="D226" s="16">
        <f>-F226*E226*0.0035</f>
        <v>260.68</v>
      </c>
      <c r="E226" s="14">
        <v>9.31</v>
      </c>
      <c r="F226" s="14">
        <v>-8000</v>
      </c>
      <c r="G226" s="14"/>
      <c r="H226" s="71"/>
      <c r="I226" s="67"/>
      <c r="J226" s="24"/>
      <c r="K226" s="45" t="s">
        <v>205</v>
      </c>
      <c r="L226" t="s">
        <v>756</v>
      </c>
      <c r="M226" s="32" t="s">
        <v>257</v>
      </c>
      <c r="N226" s="33"/>
      <c r="O226" s="34" t="s">
        <v>256</v>
      </c>
      <c r="P226" s="31"/>
    </row>
    <row r="227" spans="1:17" x14ac:dyDescent="0.25">
      <c r="A227" s="43">
        <v>44008</v>
      </c>
      <c r="B227" s="14" t="s">
        <v>90</v>
      </c>
      <c r="C227" s="14" t="s">
        <v>189</v>
      </c>
      <c r="D227" s="16">
        <f>-F227*E227*0.0035</f>
        <v>61.53</v>
      </c>
      <c r="E227" s="14">
        <v>8.7899999999999991</v>
      </c>
      <c r="F227" s="14">
        <v>-2000</v>
      </c>
      <c r="G227" s="14"/>
      <c r="H227" s="71"/>
      <c r="I227" s="67"/>
      <c r="J227" s="24"/>
      <c r="K227" s="47" t="s">
        <v>191</v>
      </c>
      <c r="L227" t="s">
        <v>756</v>
      </c>
      <c r="M227" s="32" t="s">
        <v>251</v>
      </c>
      <c r="N227" s="33"/>
      <c r="O227" s="34" t="s">
        <v>252</v>
      </c>
      <c r="P227" s="31"/>
    </row>
    <row r="228" spans="1:17" x14ac:dyDescent="0.25">
      <c r="A228" s="43">
        <v>44004</v>
      </c>
      <c r="B228" s="14" t="s">
        <v>62</v>
      </c>
      <c r="C228" s="14" t="s">
        <v>189</v>
      </c>
      <c r="D228" s="16">
        <f>F228*E228*0.0025</f>
        <v>210</v>
      </c>
      <c r="E228" s="14">
        <v>8.4</v>
      </c>
      <c r="F228" s="14">
        <v>10000</v>
      </c>
      <c r="G228" s="14"/>
      <c r="H228" s="71">
        <v>8.4600000000000009</v>
      </c>
      <c r="I228" s="67"/>
      <c r="J228" s="24"/>
      <c r="K228" s="45" t="s">
        <v>190</v>
      </c>
      <c r="L228" t="s">
        <v>756</v>
      </c>
      <c r="M228" s="32" t="s">
        <v>247</v>
      </c>
      <c r="N228" s="33"/>
      <c r="O228" s="34" t="s">
        <v>248</v>
      </c>
      <c r="P228" s="31"/>
    </row>
    <row r="229" spans="1:17" x14ac:dyDescent="0.25">
      <c r="A229" s="43">
        <v>44004</v>
      </c>
      <c r="B229" s="14" t="s">
        <v>227</v>
      </c>
      <c r="C229" s="14"/>
      <c r="D229" s="16"/>
      <c r="E229" s="14"/>
      <c r="F229" s="14"/>
      <c r="G229" s="14">
        <f>30200+72500</f>
        <v>102700</v>
      </c>
      <c r="H229" s="71"/>
      <c r="I229" s="67"/>
      <c r="J229" s="24"/>
      <c r="K229" s="45" t="s">
        <v>188</v>
      </c>
      <c r="L229" t="s">
        <v>756</v>
      </c>
      <c r="M229" s="32" t="s">
        <v>245</v>
      </c>
      <c r="N229" s="33"/>
      <c r="O229" s="34" t="s">
        <v>246</v>
      </c>
      <c r="P229" s="31"/>
    </row>
    <row r="230" spans="1:17" x14ac:dyDescent="0.25">
      <c r="A230" s="43">
        <v>43978</v>
      </c>
      <c r="B230" s="14" t="s">
        <v>227</v>
      </c>
      <c r="C230" s="14"/>
      <c r="D230" s="16"/>
      <c r="E230" s="14"/>
      <c r="F230" s="14"/>
      <c r="G230" s="14">
        <v>19800</v>
      </c>
      <c r="H230" s="71"/>
      <c r="I230" s="67"/>
      <c r="J230" s="24"/>
      <c r="K230" s="45" t="s">
        <v>184</v>
      </c>
      <c r="L230" t="s">
        <v>756</v>
      </c>
      <c r="M230" s="32" t="s">
        <v>242</v>
      </c>
      <c r="N230" s="33"/>
      <c r="O230" s="34" t="s">
        <v>243</v>
      </c>
      <c r="P230" s="31"/>
    </row>
    <row r="231" spans="1:17" x14ac:dyDescent="0.25">
      <c r="A231" s="43">
        <v>43973</v>
      </c>
      <c r="B231" s="14" t="s">
        <v>226</v>
      </c>
      <c r="C231" s="14"/>
      <c r="D231" s="16"/>
      <c r="E231" s="14"/>
      <c r="F231" s="14"/>
      <c r="G231" s="14">
        <v>-102860</v>
      </c>
      <c r="H231" s="71"/>
      <c r="I231" s="67"/>
      <c r="J231" s="24"/>
      <c r="K231" s="45" t="s">
        <v>183</v>
      </c>
      <c r="L231" t="s">
        <v>756</v>
      </c>
      <c r="M231" s="32" t="s">
        <v>223</v>
      </c>
      <c r="N231" s="33"/>
      <c r="O231" s="34" t="s">
        <v>224</v>
      </c>
      <c r="P231" s="31"/>
    </row>
    <row r="232" spans="1:17" x14ac:dyDescent="0.25">
      <c r="A232" s="43">
        <v>43965</v>
      </c>
      <c r="B232" s="14" t="s">
        <v>90</v>
      </c>
      <c r="C232" s="14" t="s">
        <v>174</v>
      </c>
      <c r="D232" s="16">
        <f>-F232*E232*0.0035</f>
        <v>158.55000000000001</v>
      </c>
      <c r="E232" s="14">
        <v>9.06</v>
      </c>
      <c r="F232" s="14">
        <v>-5000</v>
      </c>
      <c r="G232" s="14"/>
      <c r="H232" s="71"/>
      <c r="I232" s="67"/>
      <c r="J232" s="24"/>
      <c r="K232" s="45" t="s">
        <v>181</v>
      </c>
      <c r="L232" t="s">
        <v>756</v>
      </c>
      <c r="M232" s="32" t="s">
        <v>219</v>
      </c>
      <c r="N232" s="33"/>
      <c r="O232" s="34" t="s">
        <v>221</v>
      </c>
      <c r="P232" s="31"/>
    </row>
    <row r="233" spans="1:17" x14ac:dyDescent="0.25">
      <c r="A233" s="43">
        <v>43965</v>
      </c>
      <c r="B233" s="14" t="s">
        <v>90</v>
      </c>
      <c r="C233" s="14" t="s">
        <v>174</v>
      </c>
      <c r="D233" s="16">
        <f>-F233*E233*0.0035</f>
        <v>183.75</v>
      </c>
      <c r="E233" s="14">
        <v>8.75</v>
      </c>
      <c r="F233" s="14">
        <v>-6000</v>
      </c>
      <c r="G233" s="14"/>
      <c r="H233" s="71"/>
      <c r="I233" s="67"/>
      <c r="J233" s="24"/>
      <c r="K233" s="45" t="s">
        <v>178</v>
      </c>
      <c r="L233" t="s">
        <v>756</v>
      </c>
      <c r="M233" s="32" t="s">
        <v>216</v>
      </c>
      <c r="N233" s="33"/>
      <c r="O233" s="34" t="s">
        <v>218</v>
      </c>
      <c r="P233" s="31"/>
    </row>
    <row r="234" spans="1:17" x14ac:dyDescent="0.25">
      <c r="A234" s="43">
        <v>43956</v>
      </c>
      <c r="B234" s="14" t="s">
        <v>179</v>
      </c>
      <c r="C234" s="14"/>
      <c r="D234" s="16"/>
      <c r="E234" s="14"/>
      <c r="F234" s="14"/>
      <c r="G234" s="14"/>
      <c r="H234" s="71"/>
      <c r="I234" s="67"/>
      <c r="J234" s="24"/>
      <c r="K234" s="45"/>
      <c r="L234" t="s">
        <v>756</v>
      </c>
      <c r="M234" s="32" t="s">
        <v>214</v>
      </c>
      <c r="N234" s="33"/>
      <c r="O234" s="34" t="s">
        <v>215</v>
      </c>
      <c r="P234" s="31"/>
    </row>
    <row r="235" spans="1:17" x14ac:dyDescent="0.25">
      <c r="A235" s="43">
        <v>43955</v>
      </c>
      <c r="B235" s="14" t="s">
        <v>177</v>
      </c>
      <c r="C235" s="14"/>
      <c r="D235" s="16"/>
      <c r="E235" s="14"/>
      <c r="F235" s="14"/>
      <c r="G235" s="14"/>
      <c r="H235" s="71"/>
      <c r="I235" s="67"/>
      <c r="J235" s="24"/>
      <c r="K235" s="45"/>
      <c r="L235" t="s">
        <v>756</v>
      </c>
      <c r="M235" s="32" t="s">
        <v>208</v>
      </c>
      <c r="N235" s="33"/>
      <c r="O235" s="34" t="s">
        <v>212</v>
      </c>
      <c r="P235" s="31"/>
    </row>
    <row r="236" spans="1:17" x14ac:dyDescent="0.25">
      <c r="A236" s="43">
        <v>43949</v>
      </c>
      <c r="B236" s="14" t="s">
        <v>62</v>
      </c>
      <c r="C236" s="14" t="s">
        <v>174</v>
      </c>
      <c r="D236" s="16">
        <f>F236*E236*0.0035</f>
        <v>27.685000000000002</v>
      </c>
      <c r="E236" s="14">
        <v>7.91</v>
      </c>
      <c r="F236" s="14">
        <v>1000</v>
      </c>
      <c r="G236" s="14"/>
      <c r="H236" s="71"/>
      <c r="I236" s="67"/>
      <c r="J236" s="24"/>
      <c r="K236" s="45" t="s">
        <v>176</v>
      </c>
      <c r="L236" t="s">
        <v>756</v>
      </c>
      <c r="M236" s="32" t="s">
        <v>203</v>
      </c>
      <c r="N236" s="33"/>
      <c r="O236" s="34" t="s">
        <v>204</v>
      </c>
      <c r="P236" s="31"/>
    </row>
    <row r="237" spans="1:17" x14ac:dyDescent="0.25">
      <c r="A237" s="43">
        <v>43941</v>
      </c>
      <c r="B237" s="14" t="s">
        <v>62</v>
      </c>
      <c r="C237" s="14" t="s">
        <v>174</v>
      </c>
      <c r="D237" s="16">
        <f>F237*E237*0.0035</f>
        <v>281.75</v>
      </c>
      <c r="E237" s="14">
        <v>8.0500000000000007</v>
      </c>
      <c r="F237" s="14">
        <v>10000</v>
      </c>
      <c r="G237" s="14"/>
      <c r="H237" s="71"/>
      <c r="I237" s="67"/>
      <c r="J237" s="24"/>
      <c r="K237" s="45" t="s">
        <v>175</v>
      </c>
      <c r="L237" t="s">
        <v>756</v>
      </c>
      <c r="M237" s="32" t="s">
        <v>201</v>
      </c>
      <c r="N237" s="33"/>
      <c r="O237" s="34" t="s">
        <v>202</v>
      </c>
      <c r="P237" s="31"/>
    </row>
    <row r="238" spans="1:17" x14ac:dyDescent="0.25">
      <c r="A238" s="43">
        <v>43938</v>
      </c>
      <c r="B238" s="14" t="s">
        <v>173</v>
      </c>
      <c r="C238" s="14"/>
      <c r="D238" s="16"/>
      <c r="E238" s="14"/>
      <c r="F238" s="14"/>
      <c r="G238" s="14"/>
      <c r="H238" s="71"/>
      <c r="I238" s="67"/>
      <c r="J238" s="24"/>
      <c r="K238" s="45"/>
      <c r="L238" t="s">
        <v>756</v>
      </c>
      <c r="M238" s="32" t="s">
        <v>186</v>
      </c>
      <c r="N238" s="33"/>
      <c r="O238" s="34" t="s">
        <v>187</v>
      </c>
      <c r="P238" s="31"/>
    </row>
    <row r="239" spans="1:17" x14ac:dyDescent="0.25">
      <c r="A239" s="43">
        <v>43928</v>
      </c>
      <c r="B239" s="14" t="s">
        <v>90</v>
      </c>
      <c r="C239" s="14" t="s">
        <v>63</v>
      </c>
      <c r="D239" s="16">
        <f>-F239*E239*0.0035</f>
        <v>277.43099999999998</v>
      </c>
      <c r="E239" s="14">
        <v>6.6</v>
      </c>
      <c r="F239" s="14">
        <v>-12010</v>
      </c>
      <c r="G239" s="14"/>
      <c r="H239" s="71"/>
      <c r="I239" s="67"/>
      <c r="J239" s="24"/>
      <c r="K239" s="45" t="s">
        <v>172</v>
      </c>
      <c r="L239" t="s">
        <v>756</v>
      </c>
      <c r="M239" s="32" t="s">
        <v>180</v>
      </c>
      <c r="N239" s="33"/>
      <c r="O239" s="34" t="s">
        <v>182</v>
      </c>
      <c r="P239" s="31"/>
      <c r="Q239">
        <f>20000*5</f>
        <v>100000</v>
      </c>
    </row>
    <row r="240" spans="1:17" x14ac:dyDescent="0.25">
      <c r="A240" s="43">
        <v>43922</v>
      </c>
      <c r="B240" s="14" t="s">
        <v>62</v>
      </c>
      <c r="C240" s="14" t="s">
        <v>63</v>
      </c>
      <c r="D240" s="16">
        <f>F240*E240*0.0025</f>
        <v>28.95</v>
      </c>
      <c r="E240" s="14">
        <v>5.79</v>
      </c>
      <c r="F240" s="14">
        <v>2000</v>
      </c>
      <c r="G240" s="14"/>
      <c r="H240" s="71">
        <v>5.9459999999999997</v>
      </c>
      <c r="I240" s="67"/>
      <c r="J240" s="24"/>
      <c r="K240" s="45" t="s">
        <v>169</v>
      </c>
      <c r="L240" t="s">
        <v>756</v>
      </c>
      <c r="M240" s="32" t="s">
        <v>167</v>
      </c>
      <c r="N240" s="33"/>
      <c r="O240" s="34" t="s">
        <v>168</v>
      </c>
      <c r="P240" s="31"/>
      <c r="Q240">
        <f>20000*5</f>
        <v>100000</v>
      </c>
    </row>
    <row r="241" spans="1:19" x14ac:dyDescent="0.25">
      <c r="A241" s="43">
        <v>43921</v>
      </c>
      <c r="B241" s="14" t="s">
        <v>62</v>
      </c>
      <c r="C241" s="14" t="s">
        <v>63</v>
      </c>
      <c r="D241" s="16">
        <f>F241*E241*0.0025</f>
        <v>74.750000000000014</v>
      </c>
      <c r="E241" s="14">
        <v>5.98</v>
      </c>
      <c r="F241" s="14">
        <v>5000</v>
      </c>
      <c r="G241" s="14"/>
      <c r="H241" s="71">
        <v>5.9779999999999998</v>
      </c>
      <c r="I241" s="67"/>
      <c r="J241" s="24"/>
      <c r="K241" s="45" t="s">
        <v>166</v>
      </c>
      <c r="L241" t="s">
        <v>756</v>
      </c>
      <c r="M241" s="30" t="s">
        <v>164</v>
      </c>
      <c r="O241" t="s">
        <v>165</v>
      </c>
      <c r="P241" s="31"/>
    </row>
    <row r="242" spans="1:19" x14ac:dyDescent="0.25">
      <c r="A242" s="43">
        <v>43920</v>
      </c>
      <c r="B242" s="14" t="s">
        <v>62</v>
      </c>
      <c r="C242" s="14" t="s">
        <v>63</v>
      </c>
      <c r="D242" s="16">
        <f>F242*E242*0.0025</f>
        <v>74.750000000000014</v>
      </c>
      <c r="E242" s="14">
        <v>5.98</v>
      </c>
      <c r="F242" s="14">
        <v>5000</v>
      </c>
      <c r="G242" s="14"/>
      <c r="H242" s="71">
        <v>5.9749999999999996</v>
      </c>
      <c r="I242" s="67"/>
      <c r="J242" s="24"/>
      <c r="K242" s="45" t="s">
        <v>163</v>
      </c>
      <c r="L242" t="s">
        <v>756</v>
      </c>
      <c r="M242" s="30" t="s">
        <v>162</v>
      </c>
      <c r="O242">
        <f>5000*6+5000*5.7+5000*5.3+5000*5</f>
        <v>110000</v>
      </c>
      <c r="S242" s="133"/>
    </row>
    <row r="243" spans="1:19" x14ac:dyDescent="0.25">
      <c r="A243" s="43">
        <v>43915</v>
      </c>
      <c r="B243" s="14"/>
      <c r="C243" s="14"/>
      <c r="D243" s="16"/>
      <c r="E243" s="14"/>
      <c r="F243" s="14"/>
      <c r="G243" s="14"/>
      <c r="H243" s="71"/>
      <c r="I243" s="67"/>
      <c r="J243" s="24"/>
      <c r="K243" s="45" t="s">
        <v>161</v>
      </c>
      <c r="L243" t="s">
        <v>756</v>
      </c>
      <c r="M243" s="29" t="s">
        <v>157</v>
      </c>
      <c r="O243">
        <f>5000*6.5+5000*6+5000*5.5+5000*5</f>
        <v>115000</v>
      </c>
      <c r="S243" s="133"/>
    </row>
    <row r="244" spans="1:19" x14ac:dyDescent="0.25">
      <c r="A244" s="43">
        <v>43914</v>
      </c>
      <c r="B244" s="14"/>
      <c r="C244" s="14"/>
      <c r="D244" s="16"/>
      <c r="E244" s="14"/>
      <c r="F244" s="14"/>
      <c r="G244" s="14"/>
      <c r="H244" s="71"/>
      <c r="I244" s="67"/>
      <c r="J244" s="24"/>
      <c r="K244" s="45" t="s">
        <v>160</v>
      </c>
      <c r="L244" t="s">
        <v>756</v>
      </c>
      <c r="S244" s="2"/>
    </row>
    <row r="245" spans="1:19" x14ac:dyDescent="0.25">
      <c r="A245" s="43">
        <v>43910</v>
      </c>
      <c r="B245" s="14"/>
      <c r="C245" s="14"/>
      <c r="D245" s="16"/>
      <c r="E245" s="14"/>
      <c r="F245" s="14"/>
      <c r="G245" s="14"/>
      <c r="H245" s="71"/>
      <c r="I245" s="67"/>
      <c r="J245" s="24"/>
      <c r="K245" s="45" t="s">
        <v>156</v>
      </c>
      <c r="L245" t="s">
        <v>756</v>
      </c>
      <c r="M245" s="111" t="s">
        <v>841</v>
      </c>
      <c r="N245" s="31"/>
      <c r="O245" s="31"/>
      <c r="P245" s="31"/>
      <c r="S245" s="2"/>
    </row>
    <row r="246" spans="1:19" x14ac:dyDescent="0.25">
      <c r="A246" s="43">
        <v>43909</v>
      </c>
      <c r="B246" s="14"/>
      <c r="C246" s="14"/>
      <c r="D246" s="16"/>
      <c r="E246" s="14"/>
      <c r="F246" s="14"/>
      <c r="G246" s="14"/>
      <c r="H246" s="71"/>
      <c r="I246" s="67"/>
      <c r="J246" s="24"/>
      <c r="K246" s="45" t="s">
        <v>155</v>
      </c>
      <c r="L246" t="s">
        <v>756</v>
      </c>
      <c r="M246" s="32"/>
      <c r="N246" t="s">
        <v>842</v>
      </c>
      <c r="O246" s="31"/>
      <c r="P246" s="31"/>
      <c r="S246" s="2"/>
    </row>
    <row r="247" spans="1:19" x14ac:dyDescent="0.25">
      <c r="A247" s="43">
        <v>43907</v>
      </c>
      <c r="B247" s="27" t="s">
        <v>158</v>
      </c>
      <c r="C247" s="14"/>
      <c r="D247" s="16"/>
      <c r="E247" s="14"/>
      <c r="F247" s="14"/>
      <c r="G247" s="14"/>
      <c r="H247" s="71"/>
      <c r="I247" s="67"/>
      <c r="J247" s="24"/>
      <c r="K247" s="48"/>
      <c r="L247" t="s">
        <v>756</v>
      </c>
      <c r="M247" s="32"/>
      <c r="N247" s="31" t="s">
        <v>869</v>
      </c>
      <c r="O247" s="31"/>
      <c r="P247" s="31"/>
      <c r="S247" s="2"/>
    </row>
    <row r="248" spans="1:19" x14ac:dyDescent="0.25">
      <c r="A248" s="43">
        <v>43900</v>
      </c>
      <c r="B248" s="14" t="s">
        <v>90</v>
      </c>
      <c r="C248" s="14" t="s">
        <v>63</v>
      </c>
      <c r="D248" s="16">
        <f>-F248*E248*0.0035</f>
        <v>301.82950000000005</v>
      </c>
      <c r="E248" s="14">
        <v>8.3000000000000007</v>
      </c>
      <c r="F248" s="14">
        <v>-10390</v>
      </c>
      <c r="G248" s="14"/>
      <c r="H248" s="71"/>
      <c r="I248" s="67"/>
      <c r="J248" s="24"/>
      <c r="K248" s="45" t="s">
        <v>152</v>
      </c>
      <c r="L248" t="s">
        <v>756</v>
      </c>
      <c r="N248" s="31"/>
      <c r="O248" s="31"/>
      <c r="P248" s="31"/>
      <c r="S248" s="2"/>
    </row>
    <row r="249" spans="1:19" x14ac:dyDescent="0.25">
      <c r="A249" s="43">
        <v>43895</v>
      </c>
      <c r="B249" s="14" t="s">
        <v>62</v>
      </c>
      <c r="C249" s="14" t="s">
        <v>63</v>
      </c>
      <c r="D249" s="16">
        <f>F249*E249*0.0025</f>
        <v>248.22200000000001</v>
      </c>
      <c r="E249" s="14">
        <v>9.5470000000000006</v>
      </c>
      <c r="F249" s="14">
        <v>10400</v>
      </c>
      <c r="G249" s="14">
        <v>100000</v>
      </c>
      <c r="H249" s="71">
        <f>E249+0.06</f>
        <v>9.6070000000000011</v>
      </c>
      <c r="I249" s="67"/>
      <c r="J249" s="24"/>
      <c r="K249" s="45" t="s">
        <v>151</v>
      </c>
      <c r="L249" t="s">
        <v>756</v>
      </c>
      <c r="M249" s="32" t="s">
        <v>755</v>
      </c>
      <c r="N249" s="33"/>
      <c r="O249" s="34"/>
      <c r="P249" s="31"/>
      <c r="S249" s="2"/>
    </row>
    <row r="250" spans="1:19" x14ac:dyDescent="0.25">
      <c r="A250" s="43">
        <v>43881</v>
      </c>
      <c r="B250" s="14" t="s">
        <v>226</v>
      </c>
      <c r="C250" s="14"/>
      <c r="D250" s="16"/>
      <c r="E250" s="14"/>
      <c r="F250" s="14"/>
      <c r="G250" s="14">
        <v>-102000</v>
      </c>
      <c r="H250" s="71"/>
      <c r="I250" s="67"/>
      <c r="J250" s="24"/>
      <c r="K250" s="45" t="s">
        <v>150</v>
      </c>
      <c r="L250" t="s">
        <v>756</v>
      </c>
      <c r="M250" s="110" t="s">
        <v>815</v>
      </c>
      <c r="N250" s="33" t="s">
        <v>711</v>
      </c>
      <c r="O250" s="34"/>
      <c r="P250" s="31"/>
      <c r="S250" s="2"/>
    </row>
    <row r="251" spans="1:19" x14ac:dyDescent="0.25">
      <c r="A251" s="43">
        <v>43878</v>
      </c>
      <c r="B251" s="14" t="s">
        <v>90</v>
      </c>
      <c r="C251" s="14" t="s">
        <v>63</v>
      </c>
      <c r="D251" s="16">
        <f>-F251*0.0035*E251</f>
        <v>357</v>
      </c>
      <c r="E251" s="14">
        <v>10</v>
      </c>
      <c r="F251" s="14">
        <v>-10200</v>
      </c>
      <c r="G251" s="14"/>
      <c r="H251" s="71"/>
      <c r="I251" s="67"/>
      <c r="J251" s="24"/>
      <c r="K251" s="45" t="s">
        <v>148</v>
      </c>
      <c r="L251" t="s">
        <v>756</v>
      </c>
      <c r="M251" t="s">
        <v>756</v>
      </c>
      <c r="N251" s="33" t="s">
        <v>724</v>
      </c>
      <c r="O251" s="34"/>
      <c r="P251" s="31"/>
      <c r="S251" s="2"/>
    </row>
    <row r="252" spans="1:19" x14ac:dyDescent="0.25">
      <c r="A252" s="43">
        <v>43866</v>
      </c>
      <c r="B252" s="14" t="s">
        <v>62</v>
      </c>
      <c r="C252" s="14" t="s">
        <v>63</v>
      </c>
      <c r="D252" s="16">
        <f>F252*E252*0.0025</f>
        <v>125.05999999999999</v>
      </c>
      <c r="E252" s="14">
        <v>9.6199999999999992</v>
      </c>
      <c r="F252" s="14">
        <v>5200</v>
      </c>
      <c r="G252" s="14"/>
      <c r="H252" s="71">
        <f>9.925+0.06</f>
        <v>9.9850000000000012</v>
      </c>
      <c r="I252" s="67"/>
      <c r="J252" s="24"/>
      <c r="K252" s="45" t="s">
        <v>139</v>
      </c>
      <c r="L252" t="s">
        <v>756</v>
      </c>
      <c r="M252" s="34" t="s">
        <v>756</v>
      </c>
      <c r="N252" s="34" t="s">
        <v>770</v>
      </c>
      <c r="O252" s="34"/>
      <c r="P252" s="31"/>
      <c r="S252" s="2"/>
    </row>
    <row r="253" spans="1:19" x14ac:dyDescent="0.25">
      <c r="A253" s="43">
        <v>43861</v>
      </c>
      <c r="B253" s="14"/>
      <c r="C253" s="14"/>
      <c r="D253" s="16">
        <v>60</v>
      </c>
      <c r="E253" s="14"/>
      <c r="F253" s="14"/>
      <c r="G253" s="14"/>
      <c r="H253" s="71"/>
      <c r="I253" s="67"/>
      <c r="J253" s="24"/>
      <c r="K253" s="45" t="s">
        <v>138</v>
      </c>
      <c r="L253" t="s">
        <v>756</v>
      </c>
      <c r="M253" s="29" t="s">
        <v>756</v>
      </c>
      <c r="N253" s="33" t="s">
        <v>730</v>
      </c>
      <c r="O253" s="34">
        <v>46.5</v>
      </c>
      <c r="P253" s="31">
        <f>((O253-1.2)/1.05*2+13.5)/3</f>
        <v>33.261904761904759</v>
      </c>
      <c r="S253" s="2"/>
    </row>
    <row r="254" spans="1:19" x14ac:dyDescent="0.25">
      <c r="A254" s="43">
        <v>43860</v>
      </c>
      <c r="B254" s="14" t="s">
        <v>90</v>
      </c>
      <c r="C254" s="14" t="s">
        <v>63</v>
      </c>
      <c r="D254" s="16">
        <f>-E254*F254*0.0035</f>
        <v>176.75</v>
      </c>
      <c r="E254" s="14">
        <v>10.1</v>
      </c>
      <c r="F254" s="14">
        <v>-5000</v>
      </c>
      <c r="G254" s="14"/>
      <c r="H254" s="71"/>
      <c r="I254" s="67"/>
      <c r="J254" s="24"/>
      <c r="K254" s="45" t="s">
        <v>132</v>
      </c>
      <c r="L254" t="s">
        <v>756</v>
      </c>
      <c r="M254" s="29" t="s">
        <v>765</v>
      </c>
      <c r="N254" s="33"/>
      <c r="O254" s="34"/>
      <c r="P254" s="31"/>
      <c r="S254" s="2"/>
    </row>
    <row r="255" spans="1:19" x14ac:dyDescent="0.25">
      <c r="A255" s="43">
        <v>43852</v>
      </c>
      <c r="B255" s="14" t="s">
        <v>226</v>
      </c>
      <c r="C255" s="14"/>
      <c r="D255" s="16"/>
      <c r="E255" s="14"/>
      <c r="F255" s="14"/>
      <c r="G255" s="14">
        <v>-4400</v>
      </c>
      <c r="H255" s="71"/>
      <c r="I255" s="67"/>
      <c r="J255" s="24"/>
      <c r="K255" s="45"/>
      <c r="L255" t="s">
        <v>756</v>
      </c>
      <c r="M255" s="29" t="s">
        <v>756</v>
      </c>
      <c r="N255" s="112" t="s">
        <v>870</v>
      </c>
      <c r="O255" s="34"/>
      <c r="P255" s="31"/>
      <c r="S255" s="2"/>
    </row>
    <row r="256" spans="1:19" x14ac:dyDescent="0.25">
      <c r="A256" s="43">
        <v>43852</v>
      </c>
      <c r="B256" s="14" t="s">
        <v>62</v>
      </c>
      <c r="C256" s="14" t="s">
        <v>63</v>
      </c>
      <c r="D256" s="16">
        <f>E256*F256*0.0025</f>
        <v>130</v>
      </c>
      <c r="E256" s="14">
        <v>10.4</v>
      </c>
      <c r="F256" s="14">
        <v>5000</v>
      </c>
      <c r="G256" s="14"/>
      <c r="H256" s="71">
        <v>10.31</v>
      </c>
      <c r="I256" s="67"/>
      <c r="J256" s="24"/>
      <c r="K256" s="45" t="s">
        <v>126</v>
      </c>
      <c r="L256" t="s">
        <v>756</v>
      </c>
      <c r="M256" s="29" t="s">
        <v>756</v>
      </c>
      <c r="N256" s="112" t="s">
        <v>871</v>
      </c>
      <c r="O256" s="34"/>
      <c r="P256" s="31"/>
      <c r="S256" s="2"/>
    </row>
    <row r="257" spans="1:19" x14ac:dyDescent="0.25">
      <c r="A257" s="43">
        <v>43846</v>
      </c>
      <c r="B257" s="14" t="s">
        <v>227</v>
      </c>
      <c r="C257" s="14"/>
      <c r="D257" s="16"/>
      <c r="E257" s="14"/>
      <c r="F257" s="14"/>
      <c r="G257" s="14">
        <v>26500</v>
      </c>
      <c r="H257" s="71"/>
      <c r="I257" s="67"/>
      <c r="J257" s="24"/>
      <c r="K257" s="45"/>
      <c r="M257" s="29" t="s">
        <v>773</v>
      </c>
      <c r="N257" s="34"/>
      <c r="O257" s="34"/>
      <c r="P257" s="31"/>
      <c r="S257" s="2"/>
    </row>
    <row r="258" spans="1:19" x14ac:dyDescent="0.25">
      <c r="A258" s="43">
        <v>43844</v>
      </c>
      <c r="B258" s="14" t="s">
        <v>62</v>
      </c>
      <c r="C258" s="14" t="s">
        <v>63</v>
      </c>
      <c r="D258" s="16">
        <f>E258*F258*0.0025</f>
        <v>126.25</v>
      </c>
      <c r="E258" s="14">
        <v>10.1</v>
      </c>
      <c r="F258" s="14">
        <v>5000</v>
      </c>
      <c r="G258" s="14"/>
      <c r="H258" s="71">
        <v>10.16</v>
      </c>
      <c r="I258" s="67"/>
      <c r="J258" s="24"/>
      <c r="K258" s="45" t="s">
        <v>125</v>
      </c>
      <c r="M258" s="29"/>
      <c r="N258" s="34" t="s">
        <v>768</v>
      </c>
      <c r="O258" s="34"/>
      <c r="P258" s="31"/>
    </row>
    <row r="259" spans="1:19" x14ac:dyDescent="0.25">
      <c r="A259" s="43">
        <v>43838</v>
      </c>
      <c r="B259" s="14" t="s">
        <v>90</v>
      </c>
      <c r="C259" s="14" t="s">
        <v>63</v>
      </c>
      <c r="D259" s="16">
        <f>-0.0035*E259*F259</f>
        <v>278.565</v>
      </c>
      <c r="E259" s="14">
        <v>10.5</v>
      </c>
      <c r="F259" s="14">
        <v>-7580</v>
      </c>
      <c r="G259" s="14"/>
      <c r="H259" s="71"/>
      <c r="I259" s="67"/>
      <c r="J259" s="24"/>
      <c r="K259" s="45" t="s">
        <v>123</v>
      </c>
      <c r="M259" s="29"/>
      <c r="N259" s="106" t="s">
        <v>769</v>
      </c>
      <c r="O259" s="34">
        <f>(2*48.7+1*14)/3</f>
        <v>37.133333333333333</v>
      </c>
      <c r="P259" s="31"/>
    </row>
    <row r="260" spans="1:19" x14ac:dyDescent="0.25">
      <c r="A260" s="43">
        <v>43824</v>
      </c>
      <c r="B260" s="14" t="s">
        <v>62</v>
      </c>
      <c r="C260" s="14" t="s">
        <v>63</v>
      </c>
      <c r="D260" s="16">
        <f>E260*F260*0.0025</f>
        <v>67.343499999999992</v>
      </c>
      <c r="E260" s="14">
        <v>9.94</v>
      </c>
      <c r="F260" s="14">
        <v>2710</v>
      </c>
      <c r="G260" s="14"/>
      <c r="H260" s="71">
        <f>10*1.006</f>
        <v>10.06</v>
      </c>
      <c r="I260" s="67"/>
      <c r="J260" s="24"/>
      <c r="K260" s="45" t="s">
        <v>117</v>
      </c>
      <c r="M260" s="29" t="s">
        <v>805</v>
      </c>
      <c r="N260" s="106"/>
      <c r="O260" s="34"/>
      <c r="P260" s="31"/>
    </row>
    <row r="261" spans="1:19" x14ac:dyDescent="0.25">
      <c r="A261" s="43">
        <v>43822</v>
      </c>
      <c r="B261" s="14" t="s">
        <v>90</v>
      </c>
      <c r="C261" s="14" t="s">
        <v>92</v>
      </c>
      <c r="D261" s="16">
        <f>-E261*F261*0.0035</f>
        <v>95.025000000000006</v>
      </c>
      <c r="E261" s="14">
        <v>27.15</v>
      </c>
      <c r="F261" s="14">
        <v>-1000</v>
      </c>
      <c r="G261" s="14"/>
      <c r="H261" s="71"/>
      <c r="I261" s="67"/>
      <c r="J261" s="24"/>
      <c r="K261" s="45" t="s">
        <v>116</v>
      </c>
      <c r="N261" s="106" t="s">
        <v>804</v>
      </c>
    </row>
    <row r="262" spans="1:19" x14ac:dyDescent="0.25">
      <c r="A262" s="43">
        <v>43818</v>
      </c>
      <c r="B262" s="14" t="s">
        <v>62</v>
      </c>
      <c r="C262" s="14" t="s">
        <v>63</v>
      </c>
      <c r="D262" s="16">
        <f>E262*F262*0.0025</f>
        <v>0.49950000000000006</v>
      </c>
      <c r="E262" s="14">
        <v>9.99</v>
      </c>
      <c r="F262" s="14">
        <v>20</v>
      </c>
      <c r="G262" s="14"/>
      <c r="H262" s="71"/>
      <c r="I262" s="67"/>
      <c r="J262" s="24"/>
      <c r="K262" s="45"/>
    </row>
    <row r="263" spans="1:19" x14ac:dyDescent="0.25">
      <c r="A263" s="43">
        <v>43812</v>
      </c>
      <c r="B263" s="14" t="s">
        <v>62</v>
      </c>
      <c r="C263" s="14" t="s">
        <v>63</v>
      </c>
      <c r="D263" s="16">
        <f>E263*F263*0.0025</f>
        <v>21.462500000000002</v>
      </c>
      <c r="E263" s="14">
        <v>10.1</v>
      </c>
      <c r="F263" s="14">
        <v>850</v>
      </c>
      <c r="G263" s="14"/>
      <c r="H263" s="71">
        <f>10.03*1.006</f>
        <v>10.09018</v>
      </c>
      <c r="I263" s="67"/>
      <c r="J263" s="24"/>
      <c r="K263" s="45" t="s">
        <v>115</v>
      </c>
    </row>
    <row r="264" spans="1:19" x14ac:dyDescent="0.25">
      <c r="A264" s="43">
        <v>43810</v>
      </c>
      <c r="B264" s="14" t="s">
        <v>62</v>
      </c>
      <c r="C264" s="14" t="s">
        <v>63</v>
      </c>
      <c r="D264" s="16">
        <f>E264*F264*0.0025+50</f>
        <v>99.9</v>
      </c>
      <c r="E264" s="14">
        <v>9.98</v>
      </c>
      <c r="F264" s="14">
        <v>2000</v>
      </c>
      <c r="G264" s="14"/>
      <c r="H264" s="71">
        <f>10.015*1.006</f>
        <v>10.075090000000001</v>
      </c>
      <c r="I264" s="67"/>
      <c r="J264" s="24"/>
      <c r="K264" s="45" t="s">
        <v>114</v>
      </c>
    </row>
    <row r="265" spans="1:19" x14ac:dyDescent="0.25">
      <c r="A265" s="43">
        <v>43809</v>
      </c>
      <c r="B265" s="14" t="s">
        <v>90</v>
      </c>
      <c r="C265" s="14" t="s">
        <v>92</v>
      </c>
      <c r="D265" s="16">
        <f>-E265*F265*0.0035</f>
        <v>101.15</v>
      </c>
      <c r="E265" s="14">
        <v>28.9</v>
      </c>
      <c r="F265" s="14">
        <v>-1000</v>
      </c>
      <c r="G265" s="14"/>
      <c r="H265" s="71"/>
      <c r="I265" s="67"/>
      <c r="J265" s="24"/>
      <c r="K265" s="45"/>
    </row>
    <row r="266" spans="1:19" x14ac:dyDescent="0.25">
      <c r="A266" s="43">
        <v>43808</v>
      </c>
      <c r="B266" s="14" t="s">
        <v>62</v>
      </c>
      <c r="C266" s="14" t="s">
        <v>63</v>
      </c>
      <c r="D266" s="16">
        <f>F266*E266*0.0025</f>
        <v>25.75</v>
      </c>
      <c r="E266" s="14">
        <v>10.3</v>
      </c>
      <c r="F266" s="14">
        <v>1000</v>
      </c>
      <c r="G266" s="14"/>
      <c r="H266" s="71">
        <f>10.05*1.006</f>
        <v>10.110300000000001</v>
      </c>
      <c r="I266" s="67"/>
      <c r="J266" s="24"/>
      <c r="K266" s="45"/>
    </row>
    <row r="267" spans="1:19" x14ac:dyDescent="0.25">
      <c r="A267" s="43">
        <v>43805</v>
      </c>
      <c r="B267" s="14" t="s">
        <v>227</v>
      </c>
      <c r="C267" s="14"/>
      <c r="D267" s="16"/>
      <c r="E267" s="14"/>
      <c r="F267" s="14"/>
      <c r="G267" s="14">
        <v>6480</v>
      </c>
      <c r="H267" s="71"/>
      <c r="I267" s="67"/>
      <c r="J267" s="24"/>
      <c r="K267" s="45"/>
    </row>
    <row r="268" spans="1:19" x14ac:dyDescent="0.25">
      <c r="A268" s="43">
        <v>43804</v>
      </c>
      <c r="B268" s="14" t="s">
        <v>62</v>
      </c>
      <c r="C268" s="14" t="s">
        <v>63</v>
      </c>
      <c r="D268" s="16">
        <f>E268*F268*0.0025</f>
        <v>24.5</v>
      </c>
      <c r="E268" s="14">
        <v>9.8000000000000007</v>
      </c>
      <c r="F268" s="14">
        <v>1000</v>
      </c>
      <c r="G268" s="14"/>
      <c r="H268" s="71">
        <f>(E268*F268+E268*F268*0.006)/F268</f>
        <v>9.8587999999999987</v>
      </c>
      <c r="I268" s="67"/>
      <c r="J268" s="24"/>
      <c r="K268" s="45"/>
    </row>
    <row r="269" spans="1:19" x14ac:dyDescent="0.25">
      <c r="A269" s="43">
        <v>43802</v>
      </c>
      <c r="B269" s="14" t="s">
        <v>90</v>
      </c>
      <c r="C269" s="14" t="s">
        <v>92</v>
      </c>
      <c r="D269" s="16">
        <v>48.2</v>
      </c>
      <c r="E269" s="14">
        <v>28.1</v>
      </c>
      <c r="F269" s="14">
        <v>-490</v>
      </c>
      <c r="G269" s="14"/>
      <c r="H269" s="71"/>
      <c r="I269" s="67"/>
      <c r="J269" s="24"/>
      <c r="K269" s="45"/>
    </row>
    <row r="270" spans="1:19" x14ac:dyDescent="0.25">
      <c r="A270" s="43">
        <v>43761</v>
      </c>
      <c r="B270" s="14" t="s">
        <v>62</v>
      </c>
      <c r="C270" s="14" t="s">
        <v>92</v>
      </c>
      <c r="D270" s="16">
        <f>F270*E270*0.0025</f>
        <v>30.80875</v>
      </c>
      <c r="E270" s="14">
        <v>25.15</v>
      </c>
      <c r="F270" s="14">
        <v>490</v>
      </c>
      <c r="G270" s="14"/>
      <c r="H270" s="71">
        <f>27.721*1.006</f>
        <v>27.887326000000002</v>
      </c>
      <c r="I270" s="67"/>
      <c r="J270" s="24"/>
      <c r="K270" s="45"/>
    </row>
    <row r="271" spans="1:19" x14ac:dyDescent="0.25">
      <c r="A271" s="43">
        <v>43760</v>
      </c>
      <c r="B271" s="14" t="s">
        <v>227</v>
      </c>
      <c r="C271" s="14"/>
      <c r="D271" s="16"/>
      <c r="E271" s="14"/>
      <c r="F271" s="14"/>
      <c r="G271" s="14">
        <v>10300</v>
      </c>
      <c r="H271" s="71"/>
      <c r="I271" s="67"/>
      <c r="J271" s="24"/>
      <c r="K271" s="45"/>
    </row>
    <row r="272" spans="1:19" x14ac:dyDescent="0.25">
      <c r="A272" s="43">
        <v>43732</v>
      </c>
      <c r="B272" s="14" t="s">
        <v>62</v>
      </c>
      <c r="C272" s="14" t="s">
        <v>92</v>
      </c>
      <c r="D272" s="16">
        <f>F272*E272*0.0025</f>
        <v>14.375</v>
      </c>
      <c r="E272" s="14">
        <v>25</v>
      </c>
      <c r="F272" s="14">
        <v>230</v>
      </c>
      <c r="G272" s="14">
        <v>7650</v>
      </c>
      <c r="H272" s="71">
        <f>((H273*1770+F272*E272)+D272)/2000</f>
        <v>28.477160000000001</v>
      </c>
      <c r="I272" s="67"/>
      <c r="J272" s="24"/>
      <c r="K272" s="45"/>
    </row>
    <row r="273" spans="1:11" x14ac:dyDescent="0.25">
      <c r="A273" s="43">
        <v>43699</v>
      </c>
      <c r="B273" s="14" t="s">
        <v>62</v>
      </c>
      <c r="C273" s="14" t="s">
        <v>92</v>
      </c>
      <c r="D273" s="16">
        <f>F273*E273*0.0025</f>
        <v>17.82</v>
      </c>
      <c r="E273" s="14">
        <v>26.4</v>
      </c>
      <c r="F273" s="14">
        <v>270</v>
      </c>
      <c r="G273" s="14">
        <v>7300</v>
      </c>
      <c r="H273" s="71">
        <f>(H274*1500+SUM(D273:D276)+E273*F273)/1770</f>
        <v>28.920872881355933</v>
      </c>
      <c r="I273" s="67"/>
      <c r="J273" s="24"/>
      <c r="K273" s="45"/>
    </row>
    <row r="274" spans="1:11" x14ac:dyDescent="0.25">
      <c r="A274" s="43">
        <v>43664</v>
      </c>
      <c r="B274" s="14" t="s">
        <v>62</v>
      </c>
      <c r="C274" s="14" t="s">
        <v>92</v>
      </c>
      <c r="D274" s="16">
        <f>F274*E274*0.0025</f>
        <v>20.4375</v>
      </c>
      <c r="E274" s="14">
        <v>27.25</v>
      </c>
      <c r="F274" s="14">
        <v>300</v>
      </c>
      <c r="G274" s="14">
        <v>8100</v>
      </c>
      <c r="H274" s="71">
        <f>(H275*1200+(E274*F274+D274))/1500</f>
        <v>29.289708333333333</v>
      </c>
      <c r="I274" s="67"/>
      <c r="J274" s="24"/>
      <c r="K274" s="45"/>
    </row>
    <row r="275" spans="1:11" x14ac:dyDescent="0.25">
      <c r="A275" s="43">
        <v>43662</v>
      </c>
      <c r="B275" s="14" t="s">
        <v>62</v>
      </c>
      <c r="C275" s="14" t="s">
        <v>92</v>
      </c>
      <c r="D275" s="16">
        <f>0.25%*E275*F275</f>
        <v>15.125</v>
      </c>
      <c r="E275" s="14">
        <v>30.25</v>
      </c>
      <c r="F275" s="14">
        <v>200</v>
      </c>
      <c r="G275" s="14"/>
      <c r="H275" s="71">
        <f>(((E276*F276)+D276)+((E275*F275)+D275))/1200</f>
        <v>29.782604166666665</v>
      </c>
      <c r="I275" s="67"/>
      <c r="J275" s="24"/>
      <c r="K275" s="45" t="s">
        <v>93</v>
      </c>
    </row>
    <row r="276" spans="1:11" x14ac:dyDescent="0.25">
      <c r="A276" s="43">
        <v>43640</v>
      </c>
      <c r="B276" s="14" t="s">
        <v>62</v>
      </c>
      <c r="C276" s="14" t="s">
        <v>92</v>
      </c>
      <c r="D276" s="16">
        <v>74</v>
      </c>
      <c r="E276" s="14">
        <v>29.6</v>
      </c>
      <c r="F276" s="14">
        <v>1000</v>
      </c>
      <c r="G276" s="14"/>
      <c r="H276" s="71"/>
      <c r="I276" s="67"/>
      <c r="J276" s="24"/>
      <c r="K276" s="45"/>
    </row>
    <row r="277" spans="1:11" x14ac:dyDescent="0.25">
      <c r="A277" s="43">
        <v>43622</v>
      </c>
      <c r="B277" s="14" t="s">
        <v>90</v>
      </c>
      <c r="C277" s="14" t="s">
        <v>63</v>
      </c>
      <c r="D277" s="16">
        <v>125.5</v>
      </c>
      <c r="E277" s="14">
        <v>11.95</v>
      </c>
      <c r="F277" s="14">
        <v>-3000</v>
      </c>
      <c r="G277" s="14"/>
      <c r="H277" s="71"/>
      <c r="I277" s="67"/>
      <c r="J277" s="24"/>
      <c r="K277" s="45" t="s">
        <v>91</v>
      </c>
    </row>
    <row r="278" spans="1:11" x14ac:dyDescent="0.25">
      <c r="A278" s="44">
        <v>43609</v>
      </c>
      <c r="B278" s="12" t="s">
        <v>62</v>
      </c>
      <c r="C278" s="12" t="s">
        <v>63</v>
      </c>
      <c r="D278" s="17">
        <v>11.7</v>
      </c>
      <c r="E278" s="12">
        <v>11.7</v>
      </c>
      <c r="F278" s="12">
        <v>400</v>
      </c>
      <c r="G278" s="12">
        <v>4500</v>
      </c>
      <c r="H278" s="71">
        <v>11.753</v>
      </c>
      <c r="I278" s="67"/>
      <c r="J278" s="25"/>
      <c r="K278" s="49">
        <v>166.749</v>
      </c>
    </row>
    <row r="279" spans="1:11" x14ac:dyDescent="0.25">
      <c r="A279" s="44">
        <v>43599</v>
      </c>
      <c r="B279" s="12" t="s">
        <v>62</v>
      </c>
      <c r="C279" s="12" t="s">
        <v>63</v>
      </c>
      <c r="D279" s="17">
        <v>11.35</v>
      </c>
      <c r="E279" s="12">
        <v>11.35</v>
      </c>
      <c r="F279" s="12">
        <v>400</v>
      </c>
      <c r="G279" s="12">
        <v>4600</v>
      </c>
      <c r="H279" s="71">
        <f>((SUM(F279:F280)*E279)+(F281*E281)+(F282*E282))/SUM(F279:F282)+0.039</f>
        <v>11.719769230769231</v>
      </c>
      <c r="I279" s="67"/>
      <c r="J279" s="25"/>
      <c r="K279" s="49"/>
    </row>
    <row r="280" spans="1:11" x14ac:dyDescent="0.25">
      <c r="A280" s="44">
        <v>43595</v>
      </c>
      <c r="B280" s="12" t="s">
        <v>62</v>
      </c>
      <c r="C280" s="12" t="s">
        <v>63</v>
      </c>
      <c r="D280" s="17">
        <v>8.52</v>
      </c>
      <c r="E280" s="12">
        <v>11.35</v>
      </c>
      <c r="F280" s="12">
        <v>300</v>
      </c>
      <c r="G280" s="12">
        <v>3700</v>
      </c>
      <c r="H280" s="71"/>
      <c r="I280" s="67"/>
      <c r="J280" s="25"/>
      <c r="K280" s="49"/>
    </row>
    <row r="281" spans="1:11" x14ac:dyDescent="0.25">
      <c r="A281" s="44">
        <v>43574</v>
      </c>
      <c r="B281" s="12" t="s">
        <v>62</v>
      </c>
      <c r="C281" s="12" t="s">
        <v>63</v>
      </c>
      <c r="D281" s="17">
        <v>19.163</v>
      </c>
      <c r="E281" s="12">
        <v>10.95</v>
      </c>
      <c r="F281" s="12">
        <v>700</v>
      </c>
      <c r="G281" s="12">
        <v>7500</v>
      </c>
      <c r="H281" s="71">
        <f>((F281*E281)+(E282*F282))/(F281+F282)+0.035</f>
        <v>11.837631578947368</v>
      </c>
      <c r="I281" s="67"/>
      <c r="J281" s="25"/>
      <c r="K281" s="49"/>
    </row>
    <row r="282" spans="1:11" x14ac:dyDescent="0.25">
      <c r="A282" s="55">
        <v>43549</v>
      </c>
      <c r="B282" s="40" t="s">
        <v>62</v>
      </c>
      <c r="C282" s="40" t="s">
        <v>63</v>
      </c>
      <c r="D282" s="56">
        <v>36.9</v>
      </c>
      <c r="E282" s="40">
        <v>12.3</v>
      </c>
      <c r="F282" s="40">
        <v>1200</v>
      </c>
      <c r="G282" s="40">
        <v>15000</v>
      </c>
      <c r="H282" s="76"/>
      <c r="I282" s="70"/>
      <c r="J282" s="57"/>
      <c r="K282" s="58"/>
    </row>
    <row r="284" spans="1:11" x14ac:dyDescent="0.25">
      <c r="E284" s="18"/>
    </row>
  </sheetData>
  <hyperlinks>
    <hyperlink ref="R14" r:id="rId1" xr:uid="{F80EE8D3-3DDD-4E6E-8F46-8E7EAE967507}"/>
  </hyperlinks>
  <pageMargins left="0.7" right="0.7" top="0.75" bottom="0.75" header="0.3" footer="0.3"/>
  <pageSetup paperSize="9" orientation="portrait" verticalDpi="0" r:id="rId2"/>
  <ignoredErrors>
    <ignoredError sqref="I85:J85 D85"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18B9-1E5D-4C51-9D03-C69B0DC41E11}">
  <dimension ref="A1:AE59"/>
  <sheetViews>
    <sheetView tabSelected="1" workbookViewId="0">
      <selection activeCell="M5" sqref="M5"/>
    </sheetView>
  </sheetViews>
  <sheetFormatPr defaultRowHeight="15" x14ac:dyDescent="0.25"/>
  <cols>
    <col min="1" max="1" width="7.7109375" customWidth="1"/>
    <col min="2" max="2" width="6.7109375" customWidth="1"/>
    <col min="3" max="3" width="7.28515625" customWidth="1"/>
    <col min="4" max="4" width="7.7109375" bestFit="1" customWidth="1"/>
    <col min="5" max="5" width="4" customWidth="1"/>
    <col min="6" max="7" width="9.140625" customWidth="1"/>
    <col min="8" max="8" width="6.28515625" customWidth="1"/>
    <col min="9" max="9" width="10" customWidth="1"/>
    <col min="10" max="10" width="24.85546875" customWidth="1"/>
    <col min="11" max="11" width="10.7109375" bestFit="1" customWidth="1"/>
    <col min="12" max="12" width="10.5703125" bestFit="1" customWidth="1"/>
    <col min="13" max="14" width="10.42578125" customWidth="1"/>
    <col min="18" max="18" width="10.140625" customWidth="1"/>
    <col min="19" max="19" width="10.42578125" customWidth="1"/>
    <col min="20" max="20" width="11.140625" customWidth="1"/>
    <col min="27" max="27" width="18.42578125" bestFit="1" customWidth="1"/>
  </cols>
  <sheetData>
    <row r="1" spans="1:31" ht="23.25" x14ac:dyDescent="0.35">
      <c r="A1" s="35" t="s">
        <v>1025</v>
      </c>
      <c r="M1">
        <v>2022</v>
      </c>
      <c r="O1" t="s">
        <v>1021</v>
      </c>
      <c r="T1" t="s">
        <v>1147</v>
      </c>
      <c r="AA1" t="s">
        <v>1115</v>
      </c>
      <c r="AB1" t="s">
        <v>657</v>
      </c>
      <c r="AC1" t="s">
        <v>1083</v>
      </c>
      <c r="AD1" t="s">
        <v>1084</v>
      </c>
      <c r="AE1" t="s">
        <v>1082</v>
      </c>
    </row>
    <row r="2" spans="1:31" x14ac:dyDescent="0.2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18818.300000000003</v>
      </c>
      <c r="P2" t="s">
        <v>1022</v>
      </c>
      <c r="AA2" t="s">
        <v>1114</v>
      </c>
      <c r="AB2" t="s">
        <v>495</v>
      </c>
      <c r="AC2" t="s">
        <v>495</v>
      </c>
      <c r="AD2" t="s">
        <v>1068</v>
      </c>
    </row>
    <row r="3" spans="1:31" x14ac:dyDescent="0.25">
      <c r="A3" s="42"/>
      <c r="B3" s="14"/>
      <c r="C3" s="16"/>
      <c r="D3" s="14"/>
      <c r="E3" s="14"/>
      <c r="F3" s="24"/>
      <c r="G3" s="152">
        <f>Table6[[#This Row],[Vị thế đóng]]-Table6[[#This Row],[Commission]]</f>
        <v>0</v>
      </c>
      <c r="H3" s="24"/>
      <c r="I3" s="152"/>
      <c r="J3" s="45"/>
      <c r="K3" t="s">
        <v>756</v>
      </c>
      <c r="L3" s="13" t="s">
        <v>142</v>
      </c>
      <c r="M3" s="13">
        <f>11+16.5+5.5+5.5+22+5.5+5.5+5.5+5.5*4+5.5*3+5.5+11+16.5+5.5+5.5</f>
        <v>159.5</v>
      </c>
      <c r="P3" t="s">
        <v>1023</v>
      </c>
      <c r="T3" s="12" t="s">
        <v>1234</v>
      </c>
      <c r="U3" s="12">
        <f>M4/5+U4</f>
        <v>129226</v>
      </c>
      <c r="V3" s="12">
        <f>ROUNDDOWN(U3/25000,0)</f>
        <v>5</v>
      </c>
      <c r="AA3" t="s">
        <v>1113</v>
      </c>
      <c r="AB3" t="s">
        <v>454</v>
      </c>
      <c r="AC3" t="s">
        <v>454</v>
      </c>
      <c r="AD3" t="s">
        <v>1071</v>
      </c>
    </row>
    <row r="4" spans="1:31" x14ac:dyDescent="0.2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25">
      <c r="A5" s="43"/>
      <c r="B5" s="14"/>
      <c r="C5" s="16"/>
      <c r="D5" s="14"/>
      <c r="E5" s="14"/>
      <c r="F5" s="98"/>
      <c r="G5" s="153">
        <f>Table6[[#This Row],[Vị thế đóng]]-Table6[[#This Row],[Commission]]</f>
        <v>0</v>
      </c>
      <c r="H5" s="24"/>
      <c r="I5" s="152"/>
      <c r="J5" s="45"/>
      <c r="K5" t="s">
        <v>756</v>
      </c>
      <c r="L5" s="13" t="s">
        <v>1224</v>
      </c>
      <c r="M5" s="21">
        <f>SUM(G:G)-M3-U5</f>
        <v>-6983.7999999996464</v>
      </c>
      <c r="T5" s="160" t="s">
        <v>1223</v>
      </c>
      <c r="U5" s="160">
        <f>SUM(U7:U14)</f>
        <v>37726</v>
      </c>
      <c r="V5" s="160">
        <f>SUM(V7:V14)</f>
        <v>33500</v>
      </c>
      <c r="AA5" t="s">
        <v>1111</v>
      </c>
      <c r="AB5" t="s">
        <v>197</v>
      </c>
      <c r="AC5" t="s">
        <v>200</v>
      </c>
      <c r="AD5" t="s">
        <v>1077</v>
      </c>
    </row>
    <row r="6" spans="1:31" x14ac:dyDescent="0.25">
      <c r="A6" s="43"/>
      <c r="B6" s="14"/>
      <c r="C6" s="16"/>
      <c r="D6" s="14"/>
      <c r="E6" s="14"/>
      <c r="F6" s="98"/>
      <c r="G6" s="153">
        <f>Table6[[#This Row],[Vị thế đóng]]-Table6[[#This Row],[Commission]]</f>
        <v>0</v>
      </c>
      <c r="H6" s="24"/>
      <c r="I6" s="152"/>
      <c r="J6" s="45"/>
      <c r="K6" t="s">
        <v>756</v>
      </c>
      <c r="L6" s="13" t="s">
        <v>144</v>
      </c>
      <c r="M6" s="21">
        <f>-M3-M2+SUM(Table6[[#All],[Vị thế đóng]])-M7</f>
        <v>30742.200000000354</v>
      </c>
      <c r="O6" s="134" t="s">
        <v>987</v>
      </c>
      <c r="T6" s="12"/>
      <c r="U6" s="12" t="s">
        <v>144</v>
      </c>
      <c r="V6" s="12" t="s">
        <v>1236</v>
      </c>
      <c r="W6" s="12" t="s">
        <v>1242</v>
      </c>
      <c r="X6" s="136" t="s">
        <v>1241</v>
      </c>
      <c r="Y6" s="136" t="s">
        <v>1240</v>
      </c>
      <c r="AA6" t="s">
        <v>1110</v>
      </c>
      <c r="AB6" t="s">
        <v>1064</v>
      </c>
      <c r="AC6" t="s">
        <v>367</v>
      </c>
    </row>
    <row r="7" spans="1:31" x14ac:dyDescent="0.2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25">
      <c r="A8" s="43">
        <v>44771</v>
      </c>
      <c r="B8" s="14"/>
      <c r="C8" s="16"/>
      <c r="D8" s="14"/>
      <c r="E8" s="14"/>
      <c r="F8" s="98"/>
      <c r="G8" s="153">
        <f>Table6[[#This Row],[Vị thế đóng]]-Table6[[#This Row],[Commission]]</f>
        <v>0</v>
      </c>
      <c r="H8" s="24"/>
      <c r="I8" s="152"/>
      <c r="J8" s="45"/>
      <c r="K8" t="s">
        <v>756</v>
      </c>
      <c r="L8" s="13" t="s">
        <v>407</v>
      </c>
      <c r="M8" s="65">
        <f>ROUNDDOWN((M6/(M4)),3)</f>
        <v>4.9000000000000002E-2</v>
      </c>
      <c r="O8" s="140" t="s">
        <v>976</v>
      </c>
      <c r="T8" s="12" t="s">
        <v>1221</v>
      </c>
      <c r="U8" s="12"/>
      <c r="V8" s="12"/>
      <c r="W8" s="12"/>
      <c r="X8" s="12"/>
      <c r="Y8" s="12"/>
      <c r="AA8" t="s">
        <v>1108</v>
      </c>
      <c r="AB8" t="s">
        <v>1066</v>
      </c>
      <c r="AC8" t="s">
        <v>481</v>
      </c>
    </row>
    <row r="9" spans="1:31" x14ac:dyDescent="0.2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2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2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2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2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25">
      <c r="A14" s="43">
        <v>44763</v>
      </c>
      <c r="B14" s="14"/>
      <c r="C14" s="16"/>
      <c r="D14" s="14"/>
      <c r="E14" s="14"/>
      <c r="F14" s="98"/>
      <c r="G14" s="153">
        <f>Table6[[#This Row],[Vị thế đóng]]-Table6[[#This Row],[Commission]]</f>
        <v>0</v>
      </c>
      <c r="H14" s="24"/>
      <c r="I14" s="152"/>
      <c r="J14" s="45"/>
      <c r="K14" t="s">
        <v>756</v>
      </c>
      <c r="O14" s="140" t="s">
        <v>975</v>
      </c>
      <c r="T14" s="12" t="s">
        <v>1148</v>
      </c>
      <c r="U14" s="12">
        <v>-3112</v>
      </c>
      <c r="V14" s="12">
        <v>0</v>
      </c>
      <c r="W14" s="12">
        <v>8</v>
      </c>
      <c r="X14" s="12">
        <f>1320.5-1408</f>
        <v>-87.5</v>
      </c>
      <c r="Y14" s="12">
        <f>1332.59-1415.43</f>
        <v>-82.840000000000146</v>
      </c>
      <c r="AA14" t="s">
        <v>1102</v>
      </c>
      <c r="AB14" t="s">
        <v>1070</v>
      </c>
      <c r="AC14" t="s">
        <v>266</v>
      </c>
    </row>
    <row r="15" spans="1:31" x14ac:dyDescent="0.25">
      <c r="A15" s="43">
        <v>44762</v>
      </c>
      <c r="B15" s="14"/>
      <c r="C15" s="16"/>
      <c r="D15" s="14"/>
      <c r="E15" s="14"/>
      <c r="F15" s="98"/>
      <c r="G15" s="153">
        <f>Table6[[#This Row],[Vị thế đóng]]-Table6[[#This Row],[Commission]]</f>
        <v>0</v>
      </c>
      <c r="H15" s="24"/>
      <c r="I15" s="152"/>
      <c r="J15" s="45"/>
      <c r="O15" s="140" t="s">
        <v>1026</v>
      </c>
      <c r="AA15" t="s">
        <v>1101</v>
      </c>
      <c r="AB15" t="s">
        <v>1071</v>
      </c>
    </row>
    <row r="16" spans="1:31" x14ac:dyDescent="0.25">
      <c r="A16" s="43">
        <v>44761</v>
      </c>
      <c r="B16" s="14"/>
      <c r="C16" s="16"/>
      <c r="D16" s="14"/>
      <c r="E16" s="14"/>
      <c r="F16" s="98"/>
      <c r="G16" s="153">
        <f>Table6[[#This Row],[Vị thế đóng]]-Table6[[#This Row],[Commission]]</f>
        <v>0</v>
      </c>
      <c r="H16" s="24"/>
      <c r="I16" s="152"/>
      <c r="J16" s="45"/>
      <c r="AA16" t="s">
        <v>1100</v>
      </c>
      <c r="AB16" t="s">
        <v>1072</v>
      </c>
    </row>
    <row r="17" spans="1:28" x14ac:dyDescent="0.25">
      <c r="A17" s="43">
        <v>44760</v>
      </c>
      <c r="B17" s="14"/>
      <c r="C17" s="16"/>
      <c r="D17" s="14"/>
      <c r="E17" s="14"/>
      <c r="F17" s="98"/>
      <c r="G17" s="153">
        <f>Table6[[#This Row],[Vị thế đóng]]-Table6[[#This Row],[Commission]]</f>
        <v>0</v>
      </c>
      <c r="H17" s="24"/>
      <c r="I17" s="152"/>
      <c r="J17" s="45"/>
      <c r="L17" t="s">
        <v>1296</v>
      </c>
      <c r="M17" t="s">
        <v>1297</v>
      </c>
      <c r="AA17" t="s">
        <v>1099</v>
      </c>
      <c r="AB17" t="s">
        <v>1073</v>
      </c>
    </row>
    <row r="18" spans="1:28" x14ac:dyDescent="0.25">
      <c r="A18" s="43">
        <v>44757</v>
      </c>
      <c r="B18" s="14"/>
      <c r="C18" s="16"/>
      <c r="D18" s="14"/>
      <c r="E18" s="14"/>
      <c r="F18" s="98"/>
      <c r="G18" s="153">
        <f>Table6[[#This Row],[Vị thế đóng]]-Table6[[#This Row],[Commission]]</f>
        <v>0</v>
      </c>
      <c r="H18" s="24"/>
      <c r="I18" s="152"/>
      <c r="J18" s="45"/>
      <c r="L18" t="s">
        <v>1278</v>
      </c>
      <c r="M18" t="s">
        <v>1279</v>
      </c>
      <c r="AA18" t="s">
        <v>1098</v>
      </c>
      <c r="AB18" t="s">
        <v>1074</v>
      </c>
    </row>
    <row r="19" spans="1:28" x14ac:dyDescent="0.25">
      <c r="A19" s="43">
        <v>44756</v>
      </c>
      <c r="B19" s="14"/>
      <c r="C19" s="16"/>
      <c r="D19" s="14"/>
      <c r="E19" s="14"/>
      <c r="F19" s="98"/>
      <c r="G19" s="153">
        <f>Table6[[#This Row],[Vị thế đóng]]-Table6[[#This Row],[Commission]]</f>
        <v>0</v>
      </c>
      <c r="H19" s="24"/>
      <c r="I19" s="152"/>
      <c r="J19" s="45"/>
      <c r="L19" t="s">
        <v>1269</v>
      </c>
      <c r="M19" t="s">
        <v>1274</v>
      </c>
      <c r="P19" s="13"/>
      <c r="Q19" s="12" t="s">
        <v>955</v>
      </c>
      <c r="R19" s="12" t="s">
        <v>877</v>
      </c>
      <c r="S19" s="136" t="s">
        <v>956</v>
      </c>
      <c r="AA19" t="s">
        <v>1097</v>
      </c>
      <c r="AB19" t="s">
        <v>1075</v>
      </c>
    </row>
    <row r="20" spans="1:28" x14ac:dyDescent="0.25">
      <c r="A20" s="43">
        <v>44755</v>
      </c>
      <c r="B20" s="14"/>
      <c r="C20" s="16"/>
      <c r="D20" s="14"/>
      <c r="E20" s="14"/>
      <c r="F20" s="98"/>
      <c r="G20" s="153">
        <f>Table6[[#This Row],[Vị thế đóng]]-Table6[[#This Row],[Commission]]</f>
        <v>0</v>
      </c>
      <c r="H20" s="24"/>
      <c r="I20" s="152"/>
      <c r="J20" s="45"/>
      <c r="L20" t="s">
        <v>1264</v>
      </c>
      <c r="M20" t="s">
        <v>1268</v>
      </c>
      <c r="P20" s="13" t="s">
        <v>954</v>
      </c>
      <c r="Q20" s="12">
        <v>1536</v>
      </c>
      <c r="R20" s="12">
        <v>1202.82</v>
      </c>
      <c r="S20" s="65">
        <f>-(Q20-R20)/Q20</f>
        <v>-0.21691406250000003</v>
      </c>
      <c r="AA20" t="s">
        <v>1096</v>
      </c>
      <c r="AB20" t="s">
        <v>1076</v>
      </c>
    </row>
    <row r="21" spans="1:28" x14ac:dyDescent="0.25">
      <c r="A21" s="43">
        <v>44754</v>
      </c>
      <c r="B21" s="14"/>
      <c r="C21" s="16"/>
      <c r="D21" s="14"/>
      <c r="E21" s="14"/>
      <c r="F21" s="98"/>
      <c r="G21" s="153">
        <f>Table6[[#This Row],[Vị thế đóng]]-Table6[[#This Row],[Commission]]</f>
        <v>0</v>
      </c>
      <c r="H21" s="24"/>
      <c r="I21" s="152"/>
      <c r="J21" s="45"/>
      <c r="L21" t="s">
        <v>1260</v>
      </c>
      <c r="M21" t="s">
        <v>1261</v>
      </c>
      <c r="P21" s="137" t="s">
        <v>957</v>
      </c>
      <c r="Q21" s="12">
        <v>1587</v>
      </c>
      <c r="R21" s="12">
        <v>1256.67</v>
      </c>
      <c r="S21" s="65">
        <f>-(Q21-R21)/Q21</f>
        <v>-0.20814744801512283</v>
      </c>
      <c r="AA21" t="s">
        <v>1095</v>
      </c>
      <c r="AB21" t="s">
        <v>266</v>
      </c>
    </row>
    <row r="22" spans="1:28" x14ac:dyDescent="0.25">
      <c r="A22" s="43">
        <v>44753</v>
      </c>
      <c r="B22" s="14"/>
      <c r="C22" s="16"/>
      <c r="D22" s="14">
        <v>1225</v>
      </c>
      <c r="E22" s="14">
        <v>10</v>
      </c>
      <c r="F22" s="98"/>
      <c r="G22" s="153">
        <f>Table6[[#This Row],[Vị thế đóng]]-Table6[[#This Row],[Commission]]</f>
        <v>0</v>
      </c>
      <c r="H22" s="24"/>
      <c r="I22" s="152">
        <v>30000</v>
      </c>
      <c r="J22" s="45" t="s">
        <v>1298</v>
      </c>
      <c r="L22" t="s">
        <v>1256</v>
      </c>
      <c r="M22" t="s">
        <v>1258</v>
      </c>
      <c r="AA22" t="s">
        <v>1094</v>
      </c>
      <c r="AB22" t="s">
        <v>198</v>
      </c>
    </row>
    <row r="23" spans="1:28" x14ac:dyDescent="0.25">
      <c r="A23" s="43">
        <v>44750</v>
      </c>
      <c r="B23" s="14" t="s">
        <v>1280</v>
      </c>
      <c r="C23" s="16">
        <v>600</v>
      </c>
      <c r="D23" s="14">
        <v>1226</v>
      </c>
      <c r="E23" s="14">
        <v>10</v>
      </c>
      <c r="F23" s="98">
        <v>1700</v>
      </c>
      <c r="G23" s="153">
        <f>Table6[[#This Row],[Vị thế đóng]]-Table6[[#This Row],[Commission]]</f>
        <v>1100</v>
      </c>
      <c r="H23" s="24"/>
      <c r="I23" s="152">
        <v>5500</v>
      </c>
      <c r="J23" s="45" t="s">
        <v>1295</v>
      </c>
      <c r="L23" t="s">
        <v>1252</v>
      </c>
      <c r="M23" t="s">
        <v>1253</v>
      </c>
      <c r="AA23" t="s">
        <v>1093</v>
      </c>
      <c r="AB23" t="s">
        <v>481</v>
      </c>
    </row>
    <row r="24" spans="1:28" ht="15.75" thickBot="1" x14ac:dyDescent="0.3">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75" thickBot="1" x14ac:dyDescent="0.3">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2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2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2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2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2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2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CK!$I$87-CK!$D$86-CK!$D$87</f>
        <v>-24072.586444444441</v>
      </c>
      <c r="S31" s="17">
        <v>-16819.468888888889</v>
      </c>
      <c r="T31" s="17">
        <v>-16819.468888888889</v>
      </c>
      <c r="W31" s="145"/>
      <c r="X31" s="145"/>
      <c r="Y31" s="145"/>
      <c r="Z31" s="146"/>
      <c r="AA31" s="146" t="s">
        <v>1085</v>
      </c>
      <c r="AB31" s="157" t="s">
        <v>1081</v>
      </c>
    </row>
    <row r="32" spans="1:28" x14ac:dyDescent="0.2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2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2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2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2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2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2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2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2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2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2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2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2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2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2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2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2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2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2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25">
      <c r="A51" s="43">
        <v>44712</v>
      </c>
      <c r="B51" s="14"/>
      <c r="C51" s="16"/>
      <c r="D51" s="14"/>
      <c r="E51" s="14"/>
      <c r="F51" s="98"/>
      <c r="G51" s="153"/>
      <c r="H51" s="24">
        <v>16.3</v>
      </c>
      <c r="I51" s="152"/>
      <c r="J51" s="45" t="s">
        <v>1137</v>
      </c>
      <c r="P51" s="143" t="s">
        <v>996</v>
      </c>
      <c r="U51" s="143" t="s">
        <v>1005</v>
      </c>
    </row>
    <row r="52" spans="1:21" x14ac:dyDescent="0.2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2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2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2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2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2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2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2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30"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58D5-2C8A-40B9-B12B-4E5C3AD6BE19}">
  <dimension ref="A1:Q69"/>
  <sheetViews>
    <sheetView workbookViewId="0">
      <selection activeCell="A7" sqref="A7"/>
    </sheetView>
  </sheetViews>
  <sheetFormatPr defaultRowHeight="15" x14ac:dyDescent="0.25"/>
  <sheetData>
    <row r="1" spans="1:17" x14ac:dyDescent="0.25">
      <c r="A1" t="s">
        <v>192</v>
      </c>
      <c r="B1" t="s">
        <v>1287</v>
      </c>
      <c r="C1" t="s">
        <v>1288</v>
      </c>
      <c r="D1" t="s">
        <v>1289</v>
      </c>
      <c r="E1" t="s">
        <v>1290</v>
      </c>
      <c r="F1" s="11" t="s">
        <v>1291</v>
      </c>
      <c r="G1" s="11" t="s">
        <v>1292</v>
      </c>
      <c r="H1" s="11" t="s">
        <v>1293</v>
      </c>
      <c r="I1" s="11" t="s">
        <v>1294</v>
      </c>
      <c r="J1" t="s">
        <v>1275</v>
      </c>
      <c r="K1" t="s">
        <v>1276</v>
      </c>
      <c r="L1" t="s">
        <v>1284</v>
      </c>
      <c r="M1" s="5" t="s">
        <v>1286</v>
      </c>
      <c r="N1" s="5" t="s">
        <v>1283</v>
      </c>
      <c r="O1" s="5" t="s">
        <v>1282</v>
      </c>
      <c r="P1" t="s">
        <v>1281</v>
      </c>
      <c r="Q1" t="s">
        <v>1285</v>
      </c>
    </row>
    <row r="2" spans="1:17" x14ac:dyDescent="0.25">
      <c r="A2" s="165">
        <v>44757</v>
      </c>
      <c r="F2" s="11"/>
      <c r="G2" s="11"/>
      <c r="H2" s="11"/>
      <c r="I2" s="11"/>
      <c r="M2">
        <f t="shared" ref="M2:M33" si="0">C2-D2</f>
        <v>0</v>
      </c>
      <c r="N2">
        <f t="shared" ref="N2:N33" si="1">G2-H2</f>
        <v>0</v>
      </c>
      <c r="O2">
        <f t="shared" ref="O2:O33" si="2">I2-F2</f>
        <v>0</v>
      </c>
      <c r="P2">
        <f t="shared" ref="P2:P33" si="3">M2-N2</f>
        <v>0</v>
      </c>
      <c r="Q2">
        <f t="shared" ref="Q2:Q5" si="4">I2-E2</f>
        <v>0</v>
      </c>
    </row>
    <row r="3" spans="1:17" x14ac:dyDescent="0.25">
      <c r="A3" s="19">
        <v>44756</v>
      </c>
      <c r="F3" s="11"/>
      <c r="G3" s="11"/>
      <c r="H3" s="11"/>
      <c r="I3" s="11"/>
      <c r="M3">
        <f t="shared" si="0"/>
        <v>0</v>
      </c>
      <c r="N3">
        <f t="shared" si="1"/>
        <v>0</v>
      </c>
      <c r="O3">
        <f t="shared" si="2"/>
        <v>0</v>
      </c>
      <c r="P3">
        <f t="shared" si="3"/>
        <v>0</v>
      </c>
      <c r="Q3">
        <f t="shared" si="4"/>
        <v>0</v>
      </c>
    </row>
    <row r="4" spans="1:17" x14ac:dyDescent="0.25">
      <c r="A4" s="165">
        <v>44755</v>
      </c>
      <c r="F4" s="11"/>
      <c r="G4" s="11"/>
      <c r="H4" s="11"/>
      <c r="I4" s="11"/>
      <c r="M4">
        <f t="shared" si="0"/>
        <v>0</v>
      </c>
      <c r="N4">
        <f t="shared" si="1"/>
        <v>0</v>
      </c>
      <c r="O4">
        <f t="shared" si="2"/>
        <v>0</v>
      </c>
      <c r="P4">
        <f t="shared" si="3"/>
        <v>0</v>
      </c>
      <c r="Q4">
        <f t="shared" si="4"/>
        <v>0</v>
      </c>
    </row>
    <row r="5" spans="1:17" x14ac:dyDescent="0.25">
      <c r="A5" s="19">
        <v>44754</v>
      </c>
      <c r="F5" s="11"/>
      <c r="G5" s="11"/>
      <c r="H5" s="11"/>
      <c r="I5" s="11"/>
      <c r="M5">
        <f t="shared" si="0"/>
        <v>0</v>
      </c>
      <c r="N5">
        <f t="shared" si="1"/>
        <v>0</v>
      </c>
      <c r="O5">
        <f t="shared" si="2"/>
        <v>0</v>
      </c>
      <c r="P5">
        <f t="shared" si="3"/>
        <v>0</v>
      </c>
      <c r="Q5">
        <f t="shared" si="4"/>
        <v>0</v>
      </c>
    </row>
    <row r="6" spans="1:17" x14ac:dyDescent="0.25">
      <c r="A6" s="164">
        <v>44753</v>
      </c>
      <c r="F6" s="11"/>
      <c r="G6" s="11"/>
      <c r="H6" s="11"/>
      <c r="I6" s="11"/>
      <c r="M6">
        <f t="shared" si="0"/>
        <v>0</v>
      </c>
      <c r="N6">
        <f t="shared" si="1"/>
        <v>0</v>
      </c>
      <c r="O6">
        <f t="shared" si="2"/>
        <v>0</v>
      </c>
      <c r="P6">
        <f t="shared" si="3"/>
        <v>0</v>
      </c>
      <c r="Q6">
        <f>I6-E6</f>
        <v>0</v>
      </c>
    </row>
    <row r="7" spans="1:17" x14ac:dyDescent="0.25">
      <c r="A7" s="19">
        <v>44750</v>
      </c>
      <c r="F7" s="11"/>
      <c r="G7" s="11"/>
      <c r="H7" s="11"/>
      <c r="I7" s="11"/>
      <c r="M7">
        <f t="shared" si="0"/>
        <v>0</v>
      </c>
      <c r="N7">
        <f t="shared" si="1"/>
        <v>0</v>
      </c>
      <c r="O7">
        <f t="shared" si="2"/>
        <v>0</v>
      </c>
      <c r="P7">
        <f t="shared" si="3"/>
        <v>0</v>
      </c>
      <c r="Q7">
        <f t="shared" ref="Q7:Q10" si="5">I7-E7</f>
        <v>0</v>
      </c>
    </row>
    <row r="8" spans="1:17" x14ac:dyDescent="0.25">
      <c r="A8" s="19">
        <v>44749</v>
      </c>
      <c r="B8">
        <v>1215.7</v>
      </c>
      <c r="C8">
        <v>1226.2</v>
      </c>
      <c r="D8">
        <v>1213</v>
      </c>
      <c r="E8">
        <v>1225</v>
      </c>
      <c r="F8" s="11">
        <v>1212.3599999999999</v>
      </c>
      <c r="G8" s="11">
        <v>1229.23</v>
      </c>
      <c r="H8" s="11">
        <v>1209.97</v>
      </c>
      <c r="I8" s="11">
        <v>1229.23</v>
      </c>
      <c r="J8">
        <v>319.33600000000001</v>
      </c>
      <c r="K8">
        <v>98.638999999999996</v>
      </c>
      <c r="L8">
        <v>-4.2</v>
      </c>
      <c r="M8">
        <f t="shared" si="0"/>
        <v>13.200000000000045</v>
      </c>
      <c r="N8">
        <f t="shared" si="1"/>
        <v>19.259999999999991</v>
      </c>
      <c r="O8">
        <f t="shared" si="2"/>
        <v>16.870000000000118</v>
      </c>
      <c r="P8">
        <f t="shared" si="3"/>
        <v>-6.0599999999999454</v>
      </c>
      <c r="Q8">
        <f t="shared" si="5"/>
        <v>4.2300000000000182</v>
      </c>
    </row>
    <row r="9" spans="1:17" x14ac:dyDescent="0.25">
      <c r="A9" s="19">
        <v>44748</v>
      </c>
      <c r="B9">
        <v>1234.8</v>
      </c>
      <c r="C9">
        <v>1234.8</v>
      </c>
      <c r="D9">
        <v>1213.4000000000001</v>
      </c>
      <c r="E9">
        <v>1218</v>
      </c>
      <c r="F9" s="11">
        <v>1241.19</v>
      </c>
      <c r="G9" s="11">
        <v>1241.19</v>
      </c>
      <c r="H9" s="11">
        <v>1211.94</v>
      </c>
      <c r="I9" s="11">
        <v>1211.94</v>
      </c>
      <c r="J9">
        <v>399.286</v>
      </c>
      <c r="K9">
        <v>131.18</v>
      </c>
      <c r="L9">
        <v>-2</v>
      </c>
      <c r="M9">
        <f t="shared" si="0"/>
        <v>21.399999999999864</v>
      </c>
      <c r="N9">
        <f t="shared" si="1"/>
        <v>29.25</v>
      </c>
      <c r="O9">
        <f t="shared" si="2"/>
        <v>-29.25</v>
      </c>
      <c r="P9">
        <f t="shared" si="3"/>
        <v>-7.8500000000001364</v>
      </c>
      <c r="Q9">
        <f t="shared" si="5"/>
        <v>-6.0599999999999454</v>
      </c>
    </row>
    <row r="10" spans="1:17" x14ac:dyDescent="0.25">
      <c r="A10" s="19">
        <v>44747</v>
      </c>
      <c r="B10">
        <v>1248.3</v>
      </c>
      <c r="C10">
        <v>1251.9000000000001</v>
      </c>
      <c r="D10">
        <v>1234</v>
      </c>
      <c r="E10">
        <v>1234.9000000000001</v>
      </c>
      <c r="F10" s="11">
        <v>1252.48</v>
      </c>
      <c r="G10" s="11">
        <v>1256.47</v>
      </c>
      <c r="H10" s="11">
        <v>1239.8</v>
      </c>
      <c r="I10" s="11">
        <v>1242.05</v>
      </c>
      <c r="J10">
        <v>332.00200000000001</v>
      </c>
      <c r="K10">
        <v>162.03100000000001</v>
      </c>
      <c r="L10">
        <v>-5</v>
      </c>
      <c r="M10">
        <f t="shared" si="0"/>
        <v>17.900000000000091</v>
      </c>
      <c r="N10">
        <f t="shared" si="1"/>
        <v>16.670000000000073</v>
      </c>
      <c r="O10">
        <f t="shared" si="2"/>
        <v>-10.430000000000064</v>
      </c>
      <c r="P10">
        <f t="shared" si="3"/>
        <v>1.2300000000000182</v>
      </c>
      <c r="Q10">
        <f t="shared" si="5"/>
        <v>7.1499999999998636</v>
      </c>
    </row>
    <row r="11" spans="1:17" x14ac:dyDescent="0.25">
      <c r="A11" s="164">
        <v>44746</v>
      </c>
      <c r="B11">
        <v>1247</v>
      </c>
      <c r="C11">
        <v>1252.0999999999999</v>
      </c>
      <c r="D11">
        <v>1238.0999999999999</v>
      </c>
      <c r="E11">
        <v>1242</v>
      </c>
      <c r="F11" s="11">
        <v>1256.2</v>
      </c>
      <c r="G11" s="11">
        <v>1260.72</v>
      </c>
      <c r="H11" s="11">
        <v>1244.5</v>
      </c>
      <c r="I11" s="11">
        <v>1248.3699999999999</v>
      </c>
      <c r="J11">
        <v>245.64400000000001</v>
      </c>
      <c r="K11">
        <v>112.84</v>
      </c>
      <c r="L11">
        <v>-5</v>
      </c>
      <c r="M11">
        <f t="shared" si="0"/>
        <v>14</v>
      </c>
      <c r="N11">
        <f t="shared" si="1"/>
        <v>16.220000000000027</v>
      </c>
      <c r="O11">
        <f t="shared" si="2"/>
        <v>-7.8300000000001546</v>
      </c>
      <c r="P11">
        <f t="shared" si="3"/>
        <v>-2.2200000000000273</v>
      </c>
      <c r="Q11">
        <f>I11-E11</f>
        <v>6.3699999999998909</v>
      </c>
    </row>
    <row r="12" spans="1:17" x14ac:dyDescent="0.25">
      <c r="A12" s="19">
        <v>44743</v>
      </c>
      <c r="B12">
        <v>1241</v>
      </c>
      <c r="C12">
        <v>1243.5</v>
      </c>
      <c r="D12">
        <v>1221.5</v>
      </c>
      <c r="E12">
        <v>1242</v>
      </c>
      <c r="F12" s="11">
        <v>1247.7</v>
      </c>
      <c r="G12" s="11">
        <v>1255.67</v>
      </c>
      <c r="H12" s="11">
        <v>1225.6400000000001</v>
      </c>
      <c r="I12" s="11">
        <v>1252.24</v>
      </c>
      <c r="J12">
        <v>330.35199999999998</v>
      </c>
      <c r="K12">
        <v>118.89100000000001</v>
      </c>
      <c r="L12">
        <v>4</v>
      </c>
      <c r="M12">
        <f t="shared" si="0"/>
        <v>22</v>
      </c>
      <c r="N12">
        <f t="shared" si="1"/>
        <v>30.029999999999973</v>
      </c>
      <c r="O12">
        <f t="shared" si="2"/>
        <v>4.5399999999999636</v>
      </c>
      <c r="P12">
        <f t="shared" si="3"/>
        <v>-8.0299999999999727</v>
      </c>
      <c r="Q12">
        <f t="shared" ref="Q12:Q15" si="6">I12-E12</f>
        <v>10.240000000000009</v>
      </c>
    </row>
    <row r="13" spans="1:17" x14ac:dyDescent="0.25">
      <c r="A13" s="19">
        <v>44742</v>
      </c>
      <c r="B13">
        <v>1262</v>
      </c>
      <c r="C13">
        <v>1264.8</v>
      </c>
      <c r="D13">
        <v>1240.0999999999999</v>
      </c>
      <c r="E13">
        <v>1240.0999999999999</v>
      </c>
      <c r="F13" s="11">
        <v>1273.99</v>
      </c>
      <c r="G13" s="11">
        <v>1276.23</v>
      </c>
      <c r="H13" s="11">
        <v>1248.92</v>
      </c>
      <c r="I13" s="11">
        <v>1248.92</v>
      </c>
      <c r="J13">
        <v>256.95100000000002</v>
      </c>
      <c r="K13">
        <v>118.014</v>
      </c>
      <c r="L13">
        <v>0</v>
      </c>
      <c r="M13">
        <f t="shared" si="0"/>
        <v>24.700000000000045</v>
      </c>
      <c r="N13">
        <f t="shared" si="1"/>
        <v>27.309999999999945</v>
      </c>
      <c r="O13">
        <f t="shared" si="2"/>
        <v>-25.069999999999936</v>
      </c>
      <c r="P13">
        <f t="shared" si="3"/>
        <v>-2.6099999999999</v>
      </c>
      <c r="Q13">
        <f t="shared" si="6"/>
        <v>8.8200000000001637</v>
      </c>
    </row>
    <row r="14" spans="1:17" x14ac:dyDescent="0.25">
      <c r="A14" s="19">
        <v>44741</v>
      </c>
      <c r="B14">
        <v>1255</v>
      </c>
      <c r="C14">
        <v>1262.9000000000001</v>
      </c>
      <c r="D14">
        <v>1251.0999999999999</v>
      </c>
      <c r="E14">
        <v>1260.5</v>
      </c>
      <c r="F14" s="11">
        <v>1259.83</v>
      </c>
      <c r="G14" s="11">
        <v>1274.73</v>
      </c>
      <c r="H14" s="11">
        <v>1259.4100000000001</v>
      </c>
      <c r="I14" s="11">
        <v>1273.4000000000001</v>
      </c>
      <c r="J14">
        <v>289.58300000000003</v>
      </c>
      <c r="K14">
        <v>113.29600000000001</v>
      </c>
      <c r="L14">
        <v>0</v>
      </c>
      <c r="M14">
        <f t="shared" si="0"/>
        <v>11.800000000000182</v>
      </c>
      <c r="N14">
        <f t="shared" si="1"/>
        <v>15.319999999999936</v>
      </c>
      <c r="O14">
        <f t="shared" si="2"/>
        <v>13.570000000000164</v>
      </c>
      <c r="P14">
        <f t="shared" si="3"/>
        <v>-3.5199999999997544</v>
      </c>
      <c r="Q14">
        <f t="shared" si="6"/>
        <v>12.900000000000091</v>
      </c>
    </row>
    <row r="15" spans="1:17" x14ac:dyDescent="0.25">
      <c r="A15" s="19">
        <v>44740</v>
      </c>
      <c r="B15">
        <v>1246</v>
      </c>
      <c r="C15">
        <v>1266.5</v>
      </c>
      <c r="D15">
        <v>1242.7</v>
      </c>
      <c r="E15">
        <v>1261</v>
      </c>
      <c r="F15" s="11">
        <v>1254.3499999999999</v>
      </c>
      <c r="G15" s="11">
        <v>1276.21</v>
      </c>
      <c r="H15" s="11">
        <v>1249.57</v>
      </c>
      <c r="I15" s="11">
        <v>1273.4100000000001</v>
      </c>
      <c r="J15">
        <v>258.19400000000002</v>
      </c>
      <c r="K15">
        <v>151.571</v>
      </c>
      <c r="L15">
        <v>0</v>
      </c>
      <c r="M15">
        <f t="shared" si="0"/>
        <v>23.799999999999955</v>
      </c>
      <c r="N15">
        <f t="shared" si="1"/>
        <v>26.6400000000001</v>
      </c>
      <c r="O15">
        <f t="shared" si="2"/>
        <v>19.060000000000173</v>
      </c>
      <c r="P15">
        <f t="shared" si="3"/>
        <v>-2.8400000000001455</v>
      </c>
      <c r="Q15">
        <f t="shared" si="6"/>
        <v>12.410000000000082</v>
      </c>
    </row>
    <row r="16" spans="1:17" x14ac:dyDescent="0.25">
      <c r="A16" s="164">
        <v>44739</v>
      </c>
      <c r="B16">
        <v>1236</v>
      </c>
      <c r="C16">
        <v>1247.9000000000001</v>
      </c>
      <c r="D16">
        <v>1234</v>
      </c>
      <c r="E16">
        <v>1247.9000000000001</v>
      </c>
      <c r="F16" s="11">
        <v>1238.23</v>
      </c>
      <c r="G16" s="11">
        <v>1256.67</v>
      </c>
      <c r="H16" s="11">
        <v>1237.79</v>
      </c>
      <c r="I16" s="11">
        <v>1256.67</v>
      </c>
      <c r="J16">
        <v>218.952</v>
      </c>
      <c r="K16">
        <v>110.59699999999999</v>
      </c>
      <c r="L16">
        <v>13</v>
      </c>
      <c r="M16">
        <f t="shared" si="0"/>
        <v>13.900000000000091</v>
      </c>
      <c r="N16">
        <f t="shared" si="1"/>
        <v>18.880000000000109</v>
      </c>
      <c r="O16">
        <f t="shared" si="2"/>
        <v>18.440000000000055</v>
      </c>
      <c r="P16">
        <f t="shared" si="3"/>
        <v>-4.9800000000000182</v>
      </c>
      <c r="Q16">
        <f>I16-E16</f>
        <v>8.7699999999999818</v>
      </c>
    </row>
    <row r="17" spans="1:17" x14ac:dyDescent="0.25">
      <c r="A17" s="19">
        <v>44736</v>
      </c>
      <c r="B17">
        <v>1236</v>
      </c>
      <c r="C17">
        <v>1237.9000000000001</v>
      </c>
      <c r="D17">
        <v>1226</v>
      </c>
      <c r="E17">
        <v>1227</v>
      </c>
      <c r="F17" s="11">
        <v>1239.54</v>
      </c>
      <c r="G17" s="11">
        <v>1246.22</v>
      </c>
      <c r="H17" s="11">
        <v>1234.72</v>
      </c>
      <c r="I17" s="11">
        <v>1235.47</v>
      </c>
      <c r="J17">
        <v>243.816</v>
      </c>
      <c r="K17">
        <v>90.436999999999998</v>
      </c>
      <c r="L17">
        <v>-10</v>
      </c>
      <c r="M17">
        <f t="shared" si="0"/>
        <v>11.900000000000091</v>
      </c>
      <c r="N17">
        <f t="shared" si="1"/>
        <v>11.5</v>
      </c>
      <c r="O17">
        <f t="shared" si="2"/>
        <v>-4.0699999999999363</v>
      </c>
      <c r="P17">
        <f t="shared" si="3"/>
        <v>0.40000000000009095</v>
      </c>
      <c r="Q17">
        <f t="shared" ref="Q17:Q20" si="7">I17-E17</f>
        <v>8.4700000000000273</v>
      </c>
    </row>
    <row r="18" spans="1:17" x14ac:dyDescent="0.25">
      <c r="A18" s="19">
        <v>44735</v>
      </c>
      <c r="B18">
        <v>1222</v>
      </c>
      <c r="C18">
        <v>1230.3</v>
      </c>
      <c r="D18">
        <v>1216.3</v>
      </c>
      <c r="E18">
        <v>1227.8</v>
      </c>
      <c r="F18" s="11">
        <v>1219.67</v>
      </c>
      <c r="G18" s="11">
        <v>1240.58</v>
      </c>
      <c r="H18" s="11">
        <v>1219.08</v>
      </c>
      <c r="I18" s="11">
        <v>1240.58</v>
      </c>
      <c r="J18">
        <v>336.90800000000002</v>
      </c>
      <c r="K18">
        <v>105.24</v>
      </c>
      <c r="L18">
        <v>7</v>
      </c>
      <c r="M18">
        <f t="shared" si="0"/>
        <v>14</v>
      </c>
      <c r="N18">
        <f t="shared" si="1"/>
        <v>21.5</v>
      </c>
      <c r="O18">
        <f t="shared" si="2"/>
        <v>20.909999999999854</v>
      </c>
      <c r="P18">
        <f t="shared" si="3"/>
        <v>-7.5</v>
      </c>
      <c r="Q18">
        <f t="shared" si="7"/>
        <v>12.779999999999973</v>
      </c>
    </row>
    <row r="19" spans="1:17" x14ac:dyDescent="0.25">
      <c r="A19" s="19">
        <v>44734</v>
      </c>
      <c r="B19">
        <v>1233.7</v>
      </c>
      <c r="C19">
        <v>1240.9000000000001</v>
      </c>
      <c r="D19">
        <v>1216</v>
      </c>
      <c r="E19">
        <v>1216</v>
      </c>
      <c r="F19" s="11">
        <v>1233.28</v>
      </c>
      <c r="G19" s="11">
        <v>1242.06</v>
      </c>
      <c r="H19" s="11">
        <v>1222.8599999999999</v>
      </c>
      <c r="I19" s="11">
        <v>1227.18</v>
      </c>
      <c r="J19">
        <v>404.68</v>
      </c>
      <c r="K19">
        <v>142.69499999999999</v>
      </c>
      <c r="L19">
        <v>22</v>
      </c>
      <c r="M19">
        <f t="shared" si="0"/>
        <v>24.900000000000091</v>
      </c>
      <c r="N19">
        <f t="shared" si="1"/>
        <v>19.200000000000045</v>
      </c>
      <c r="O19">
        <f t="shared" si="2"/>
        <v>-6.0999999999999091</v>
      </c>
      <c r="P19">
        <f t="shared" si="3"/>
        <v>5.7000000000000455</v>
      </c>
      <c r="Q19">
        <f t="shared" si="7"/>
        <v>11.180000000000064</v>
      </c>
    </row>
    <row r="20" spans="1:17" x14ac:dyDescent="0.25">
      <c r="A20" s="19">
        <v>44733</v>
      </c>
      <c r="B20">
        <v>1216.8</v>
      </c>
      <c r="C20">
        <v>1240</v>
      </c>
      <c r="D20">
        <v>1210.5</v>
      </c>
      <c r="E20">
        <v>1228</v>
      </c>
      <c r="F20" s="11">
        <v>1220.76</v>
      </c>
      <c r="G20" s="11">
        <v>1240.8</v>
      </c>
      <c r="H20" s="11">
        <v>1212.69</v>
      </c>
      <c r="I20" s="11">
        <v>1224.54</v>
      </c>
      <c r="J20">
        <v>504.51600000000002</v>
      </c>
      <c r="K20">
        <v>172.80199999999999</v>
      </c>
      <c r="L20">
        <v>5</v>
      </c>
      <c r="M20">
        <f t="shared" si="0"/>
        <v>29.5</v>
      </c>
      <c r="N20">
        <f t="shared" si="1"/>
        <v>28.1099999999999</v>
      </c>
      <c r="O20">
        <f t="shared" si="2"/>
        <v>3.7799999999999727</v>
      </c>
      <c r="P20">
        <f t="shared" si="3"/>
        <v>1.3900000000001</v>
      </c>
      <c r="Q20">
        <f t="shared" si="7"/>
        <v>-3.4600000000000364</v>
      </c>
    </row>
    <row r="21" spans="1:17" x14ac:dyDescent="0.25">
      <c r="A21" s="164">
        <v>44732</v>
      </c>
      <c r="B21">
        <v>1244.8</v>
      </c>
      <c r="C21">
        <v>1249.4000000000001</v>
      </c>
      <c r="D21">
        <v>1212</v>
      </c>
      <c r="E21">
        <v>1212</v>
      </c>
      <c r="F21" s="11">
        <v>1258.3</v>
      </c>
      <c r="G21" s="11">
        <v>1262.83</v>
      </c>
      <c r="H21" s="11">
        <v>1223.03</v>
      </c>
      <c r="I21" s="11">
        <v>1225.56</v>
      </c>
      <c r="J21">
        <v>405.214</v>
      </c>
      <c r="K21">
        <v>168.768</v>
      </c>
      <c r="L21">
        <v>7</v>
      </c>
      <c r="M21">
        <f t="shared" si="0"/>
        <v>37.400000000000091</v>
      </c>
      <c r="N21">
        <f t="shared" si="1"/>
        <v>39.799999999999955</v>
      </c>
      <c r="O21">
        <f t="shared" si="2"/>
        <v>-32.740000000000009</v>
      </c>
      <c r="P21">
        <f t="shared" si="3"/>
        <v>-2.3999999999998636</v>
      </c>
      <c r="Q21">
        <f>I21-E21</f>
        <v>13.559999999999945</v>
      </c>
    </row>
    <row r="22" spans="1:17" x14ac:dyDescent="0.25">
      <c r="A22" s="19">
        <v>44729</v>
      </c>
      <c r="B22">
        <v>1247.5</v>
      </c>
      <c r="C22">
        <v>1249</v>
      </c>
      <c r="D22">
        <v>1215.2</v>
      </c>
      <c r="E22">
        <v>1245.2</v>
      </c>
      <c r="F22" s="11">
        <v>1254.05</v>
      </c>
      <c r="G22" s="11">
        <v>1259.3900000000001</v>
      </c>
      <c r="H22" s="11">
        <v>1229.74</v>
      </c>
      <c r="I22" s="11">
        <v>1258.03</v>
      </c>
      <c r="J22">
        <v>455.23399999999998</v>
      </c>
      <c r="K22">
        <v>187.3</v>
      </c>
      <c r="L22">
        <v>1</v>
      </c>
      <c r="M22">
        <f t="shared" si="0"/>
        <v>33.799999999999955</v>
      </c>
      <c r="N22">
        <f t="shared" si="1"/>
        <v>29.650000000000091</v>
      </c>
      <c r="O22">
        <f t="shared" si="2"/>
        <v>3.9800000000000182</v>
      </c>
      <c r="P22">
        <f t="shared" si="3"/>
        <v>4.1499999999998636</v>
      </c>
      <c r="Q22">
        <f t="shared" ref="Q22:Q25" si="8">I22-E22</f>
        <v>12.829999999999927</v>
      </c>
    </row>
    <row r="23" spans="1:17" x14ac:dyDescent="0.25">
      <c r="A23" s="159">
        <v>44728</v>
      </c>
      <c r="B23">
        <v>1261</v>
      </c>
      <c r="C23">
        <v>1286.5</v>
      </c>
      <c r="D23">
        <v>1260.7</v>
      </c>
      <c r="E23">
        <v>1286</v>
      </c>
      <c r="F23" s="11">
        <v>1266.8699999999999</v>
      </c>
      <c r="G23" s="11">
        <v>1292.02</v>
      </c>
      <c r="H23" s="11">
        <v>1263.56</v>
      </c>
      <c r="I23" s="11">
        <v>1280.3699999999999</v>
      </c>
      <c r="J23">
        <v>284.86799999999999</v>
      </c>
      <c r="K23">
        <v>156.45500000000001</v>
      </c>
      <c r="L23">
        <v>-4</v>
      </c>
      <c r="M23">
        <f t="shared" si="0"/>
        <v>25.799999999999955</v>
      </c>
      <c r="N23">
        <f t="shared" si="1"/>
        <v>28.460000000000036</v>
      </c>
      <c r="O23">
        <f t="shared" si="2"/>
        <v>13.5</v>
      </c>
      <c r="P23">
        <f t="shared" si="3"/>
        <v>-2.6600000000000819</v>
      </c>
      <c r="Q23">
        <f t="shared" si="8"/>
        <v>-5.6300000000001091</v>
      </c>
    </row>
    <row r="24" spans="1:17" x14ac:dyDescent="0.25">
      <c r="A24" s="19">
        <v>44727</v>
      </c>
      <c r="B24">
        <v>1268</v>
      </c>
      <c r="C24">
        <v>1270.5</v>
      </c>
      <c r="D24">
        <v>1235.3</v>
      </c>
      <c r="E24">
        <v>1251.3</v>
      </c>
      <c r="F24" s="11">
        <v>1263.96</v>
      </c>
      <c r="G24" s="11">
        <v>1268.33</v>
      </c>
      <c r="H24" s="11">
        <v>1231.1199999999999</v>
      </c>
      <c r="I24" s="11">
        <v>1253.0899999999999</v>
      </c>
      <c r="J24">
        <v>356.99299999999999</v>
      </c>
      <c r="K24">
        <v>167.43100000000001</v>
      </c>
      <c r="L24">
        <v>4</v>
      </c>
      <c r="M24">
        <f t="shared" si="0"/>
        <v>35.200000000000045</v>
      </c>
      <c r="N24">
        <f t="shared" si="1"/>
        <v>37.210000000000036</v>
      </c>
      <c r="O24">
        <f t="shared" si="2"/>
        <v>-10.870000000000118</v>
      </c>
      <c r="P24">
        <f t="shared" si="3"/>
        <v>-2.0099999999999909</v>
      </c>
      <c r="Q24">
        <f t="shared" si="8"/>
        <v>1.7899999999999636</v>
      </c>
    </row>
    <row r="25" spans="1:17" x14ac:dyDescent="0.25">
      <c r="A25" s="19">
        <v>44726</v>
      </c>
      <c r="B25">
        <v>1254.8</v>
      </c>
      <c r="C25">
        <v>1272.5</v>
      </c>
      <c r="D25">
        <v>1250</v>
      </c>
      <c r="E25">
        <v>1268.3</v>
      </c>
      <c r="F25" s="11">
        <v>1247.3900000000001</v>
      </c>
      <c r="G25" s="11">
        <v>1271.28</v>
      </c>
      <c r="H25" s="11">
        <v>1245.26</v>
      </c>
      <c r="I25" s="11">
        <v>1261.1600000000001</v>
      </c>
      <c r="J25">
        <v>353.74700000000001</v>
      </c>
      <c r="K25">
        <v>145.64099999999999</v>
      </c>
      <c r="L25">
        <v>-1</v>
      </c>
      <c r="M25">
        <f t="shared" si="0"/>
        <v>22.5</v>
      </c>
      <c r="N25">
        <f t="shared" si="1"/>
        <v>26.019999999999982</v>
      </c>
      <c r="O25">
        <f t="shared" si="2"/>
        <v>13.769999999999982</v>
      </c>
      <c r="P25">
        <f t="shared" si="3"/>
        <v>-3.5199999999999818</v>
      </c>
      <c r="Q25">
        <f t="shared" si="8"/>
        <v>-7.1399999999998727</v>
      </c>
    </row>
    <row r="26" spans="1:17" x14ac:dyDescent="0.25">
      <c r="A26" s="164">
        <v>44725</v>
      </c>
      <c r="B26">
        <v>1295.26</v>
      </c>
      <c r="C26">
        <v>1300.45</v>
      </c>
      <c r="D26">
        <v>1260.8499999999999</v>
      </c>
      <c r="E26">
        <v>1260.8499999999999</v>
      </c>
      <c r="F26" s="11">
        <v>1284</v>
      </c>
      <c r="G26" s="11">
        <v>1289.9000000000001</v>
      </c>
      <c r="H26" s="11">
        <v>1257.4000000000001</v>
      </c>
      <c r="I26" s="11">
        <v>1260.2</v>
      </c>
      <c r="J26">
        <v>332.82900000000001</v>
      </c>
      <c r="K26">
        <v>199.02</v>
      </c>
      <c r="L26">
        <f>7270/1000</f>
        <v>7.27</v>
      </c>
      <c r="M26">
        <f t="shared" si="0"/>
        <v>39.600000000000136</v>
      </c>
      <c r="N26">
        <f t="shared" si="1"/>
        <v>32.5</v>
      </c>
      <c r="O26">
        <f t="shared" si="2"/>
        <v>-23.799999999999955</v>
      </c>
      <c r="P26">
        <f t="shared" si="3"/>
        <v>7.1000000000001364</v>
      </c>
      <c r="Q26">
        <f>I26-E26</f>
        <v>-0.64999999999986358</v>
      </c>
    </row>
    <row r="27" spans="1:17" x14ac:dyDescent="0.25">
      <c r="A27" s="19">
        <v>44722</v>
      </c>
      <c r="B27">
        <v>1328</v>
      </c>
      <c r="C27">
        <v>1333.8</v>
      </c>
      <c r="D27">
        <v>1311.1</v>
      </c>
      <c r="E27">
        <v>1311.1</v>
      </c>
      <c r="F27" s="11">
        <v>1332.93</v>
      </c>
      <c r="G27" s="11">
        <v>1344.85</v>
      </c>
      <c r="H27" s="11">
        <v>1325.69</v>
      </c>
      <c r="I27" s="11">
        <v>1325.69</v>
      </c>
      <c r="J27">
        <v>232.69300000000001</v>
      </c>
      <c r="K27">
        <v>136.58500000000001</v>
      </c>
      <c r="L27">
        <v>0</v>
      </c>
      <c r="M27">
        <f t="shared" si="0"/>
        <v>22.700000000000045</v>
      </c>
      <c r="N27">
        <f t="shared" si="1"/>
        <v>19.159999999999854</v>
      </c>
      <c r="O27">
        <f t="shared" si="2"/>
        <v>-7.2400000000000091</v>
      </c>
      <c r="P27">
        <f t="shared" si="3"/>
        <v>3.540000000000191</v>
      </c>
      <c r="Q27">
        <f t="shared" ref="Q27:Q30" si="9">I27-E27</f>
        <v>14.590000000000146</v>
      </c>
    </row>
    <row r="28" spans="1:17" x14ac:dyDescent="0.25">
      <c r="A28" s="19">
        <v>44721</v>
      </c>
      <c r="B28">
        <v>1332.4</v>
      </c>
      <c r="C28">
        <v>1339</v>
      </c>
      <c r="D28">
        <v>1327</v>
      </c>
      <c r="E28">
        <v>1335.3</v>
      </c>
      <c r="F28" s="11">
        <v>1344.56</v>
      </c>
      <c r="G28" s="11">
        <v>1346.13</v>
      </c>
      <c r="H28" s="11">
        <v>1335.28</v>
      </c>
      <c r="I28" s="11">
        <v>1342.92</v>
      </c>
      <c r="J28">
        <v>264.55900000000003</v>
      </c>
      <c r="K28">
        <v>126.6</v>
      </c>
      <c r="L28">
        <f>1852/500</f>
        <v>3.7040000000000002</v>
      </c>
      <c r="M28">
        <f t="shared" si="0"/>
        <v>12</v>
      </c>
      <c r="N28">
        <f t="shared" si="1"/>
        <v>10.850000000000136</v>
      </c>
      <c r="O28">
        <f t="shared" si="2"/>
        <v>-1.6399999999998727</v>
      </c>
      <c r="P28">
        <f t="shared" si="3"/>
        <v>1.1499999999998636</v>
      </c>
      <c r="Q28">
        <f t="shared" si="9"/>
        <v>7.6200000000001182</v>
      </c>
    </row>
    <row r="29" spans="1:17" x14ac:dyDescent="0.25">
      <c r="A29" s="19">
        <v>44720</v>
      </c>
      <c r="B29">
        <v>1321</v>
      </c>
      <c r="C29">
        <v>1342</v>
      </c>
      <c r="D29">
        <v>1319.8</v>
      </c>
      <c r="E29">
        <v>1333</v>
      </c>
      <c r="F29" s="11">
        <v>1328.95</v>
      </c>
      <c r="G29" s="11">
        <v>1348.4</v>
      </c>
      <c r="H29" s="11">
        <v>1325.65</v>
      </c>
      <c r="I29" s="11">
        <v>1342.03</v>
      </c>
      <c r="J29">
        <v>267.43</v>
      </c>
      <c r="K29">
        <v>163.072</v>
      </c>
      <c r="L29">
        <f>1123/500</f>
        <v>2.246</v>
      </c>
      <c r="M29">
        <f t="shared" si="0"/>
        <v>22.200000000000045</v>
      </c>
      <c r="N29">
        <f t="shared" si="1"/>
        <v>22.75</v>
      </c>
      <c r="O29">
        <f t="shared" si="2"/>
        <v>13.079999999999927</v>
      </c>
      <c r="P29">
        <f t="shared" si="3"/>
        <v>-0.54999999999995453</v>
      </c>
      <c r="Q29">
        <f t="shared" si="9"/>
        <v>9.0299999999999727</v>
      </c>
    </row>
    <row r="30" spans="1:17" x14ac:dyDescent="0.25">
      <c r="A30" s="19">
        <v>44719</v>
      </c>
      <c r="B30">
        <v>1315</v>
      </c>
      <c r="C30">
        <v>1315.5</v>
      </c>
      <c r="D30">
        <v>1293.3</v>
      </c>
      <c r="E30">
        <v>1315</v>
      </c>
      <c r="F30" s="11">
        <v>1323.19</v>
      </c>
      <c r="G30" s="11">
        <v>1324.27</v>
      </c>
      <c r="H30" s="11">
        <v>1297.98</v>
      </c>
      <c r="I30" s="11">
        <v>1324.37</v>
      </c>
      <c r="J30">
        <v>278.66399999999999</v>
      </c>
      <c r="K30">
        <v>153.98099999999999</v>
      </c>
      <c r="L30">
        <v>0</v>
      </c>
      <c r="M30">
        <f t="shared" si="0"/>
        <v>22.200000000000045</v>
      </c>
      <c r="N30">
        <f t="shared" si="1"/>
        <v>26.289999999999964</v>
      </c>
      <c r="O30">
        <f t="shared" si="2"/>
        <v>1.1799999999998363</v>
      </c>
      <c r="P30">
        <f t="shared" si="3"/>
        <v>-4.0899999999999181</v>
      </c>
      <c r="Q30">
        <f t="shared" si="9"/>
        <v>9.3699999999998909</v>
      </c>
    </row>
    <row r="31" spans="1:17" x14ac:dyDescent="0.25">
      <c r="A31" s="164">
        <v>44718</v>
      </c>
      <c r="B31">
        <v>1320.7</v>
      </c>
      <c r="C31">
        <v>1332</v>
      </c>
      <c r="D31">
        <v>1315</v>
      </c>
      <c r="E31">
        <v>1315</v>
      </c>
      <c r="F31" s="11">
        <v>1328.73</v>
      </c>
      <c r="G31" s="11">
        <v>1336.96</v>
      </c>
      <c r="H31" s="11">
        <v>1320.97</v>
      </c>
      <c r="I31" s="11">
        <v>1327.04</v>
      </c>
      <c r="J31">
        <v>224.785</v>
      </c>
      <c r="K31">
        <v>132.834</v>
      </c>
      <c r="L31">
        <f>1097/500</f>
        <v>2.194</v>
      </c>
      <c r="M31">
        <f t="shared" si="0"/>
        <v>17</v>
      </c>
      <c r="N31">
        <f t="shared" si="1"/>
        <v>15.990000000000009</v>
      </c>
      <c r="O31">
        <f t="shared" si="2"/>
        <v>-1.6900000000000546</v>
      </c>
      <c r="P31">
        <f t="shared" si="3"/>
        <v>1.0099999999999909</v>
      </c>
      <c r="Q31">
        <f>I31-E31</f>
        <v>12.039999999999964</v>
      </c>
    </row>
    <row r="32" spans="1:17" x14ac:dyDescent="0.25">
      <c r="A32" s="19">
        <v>44715</v>
      </c>
      <c r="B32">
        <v>1318</v>
      </c>
      <c r="C32">
        <v>1323.9</v>
      </c>
      <c r="D32">
        <v>1305.5999999999999</v>
      </c>
      <c r="E32">
        <v>1318.5</v>
      </c>
      <c r="F32" s="11">
        <v>1323.09</v>
      </c>
      <c r="G32" s="11">
        <v>1329.9</v>
      </c>
      <c r="H32" s="11">
        <v>1313.4</v>
      </c>
      <c r="I32" s="11">
        <v>1327.4</v>
      </c>
      <c r="J32">
        <v>233.505</v>
      </c>
      <c r="K32">
        <v>100.18</v>
      </c>
      <c r="L32">
        <f>997.3/500</f>
        <v>1.9945999999999999</v>
      </c>
      <c r="M32">
        <f t="shared" si="0"/>
        <v>18.300000000000182</v>
      </c>
      <c r="N32">
        <f t="shared" si="1"/>
        <v>16.5</v>
      </c>
      <c r="O32">
        <f t="shared" si="2"/>
        <v>4.3100000000001728</v>
      </c>
      <c r="P32">
        <f t="shared" si="3"/>
        <v>1.8000000000001819</v>
      </c>
      <c r="Q32">
        <f t="shared" ref="Q32:Q35" si="10">I32-E32</f>
        <v>8.9000000000000909</v>
      </c>
    </row>
    <row r="33" spans="1:17" x14ac:dyDescent="0.25">
      <c r="A33" s="19">
        <v>44714</v>
      </c>
      <c r="B33">
        <v>1311</v>
      </c>
      <c r="C33">
        <v>1330</v>
      </c>
      <c r="D33">
        <v>1311</v>
      </c>
      <c r="E33">
        <v>1315</v>
      </c>
      <c r="F33" s="11">
        <v>1339.12</v>
      </c>
      <c r="G33" s="11">
        <v>1342.47</v>
      </c>
      <c r="H33" s="11">
        <v>1319.85</v>
      </c>
      <c r="I33" s="11">
        <v>1325.49</v>
      </c>
      <c r="J33">
        <v>253.048</v>
      </c>
      <c r="K33">
        <v>133.90299999999999</v>
      </c>
      <c r="L33">
        <f>2043.5/500</f>
        <v>4.0869999999999997</v>
      </c>
      <c r="M33">
        <f t="shared" si="0"/>
        <v>19</v>
      </c>
      <c r="N33">
        <f t="shared" si="1"/>
        <v>22.620000000000118</v>
      </c>
      <c r="O33">
        <f t="shared" si="2"/>
        <v>-13.629999999999882</v>
      </c>
      <c r="P33">
        <f t="shared" si="3"/>
        <v>-3.6200000000001182</v>
      </c>
      <c r="Q33">
        <f t="shared" si="10"/>
        <v>10.490000000000009</v>
      </c>
    </row>
    <row r="34" spans="1:17" x14ac:dyDescent="0.25">
      <c r="A34" s="19">
        <v>44713</v>
      </c>
      <c r="B34">
        <v>1318.5</v>
      </c>
      <c r="C34">
        <v>1337.5</v>
      </c>
      <c r="D34">
        <v>1316</v>
      </c>
      <c r="E34">
        <v>1326</v>
      </c>
      <c r="F34" s="11">
        <v>1329.02</v>
      </c>
      <c r="G34" s="11">
        <v>1341.47</v>
      </c>
      <c r="H34" s="11">
        <v>1323.07</v>
      </c>
      <c r="I34" s="11">
        <v>1335.49</v>
      </c>
      <c r="J34">
        <v>325.93599999999998</v>
      </c>
      <c r="K34">
        <v>127.58199999999999</v>
      </c>
      <c r="L34">
        <f>2996.5/500</f>
        <v>5.9930000000000003</v>
      </c>
      <c r="M34">
        <f t="shared" ref="M34:M69" si="11">C34-D34</f>
        <v>21.5</v>
      </c>
      <c r="N34">
        <f t="shared" ref="N34:N69" si="12">G34-H34</f>
        <v>18.400000000000091</v>
      </c>
      <c r="O34">
        <f t="shared" ref="O34:O69" si="13">I34-F34</f>
        <v>6.4700000000000273</v>
      </c>
      <c r="P34">
        <f t="shared" ref="P34:P55" si="14">M34-N34</f>
        <v>3.0999999999999091</v>
      </c>
      <c r="Q34">
        <f t="shared" si="10"/>
        <v>9.4900000000000091</v>
      </c>
    </row>
    <row r="35" spans="1:17" x14ac:dyDescent="0.25">
      <c r="A35" s="19">
        <v>44712</v>
      </c>
      <c r="B35">
        <v>1326.2</v>
      </c>
      <c r="C35">
        <v>1326.8</v>
      </c>
      <c r="D35">
        <v>1310.5</v>
      </c>
      <c r="E35">
        <v>1320.5</v>
      </c>
      <c r="F35" s="11">
        <v>1342.8</v>
      </c>
      <c r="G35" s="11">
        <v>1342.8</v>
      </c>
      <c r="H35" s="11">
        <v>1324.46</v>
      </c>
      <c r="I35" s="11">
        <v>1332.59</v>
      </c>
      <c r="J35">
        <v>224.97800000000001</v>
      </c>
      <c r="K35">
        <v>127.916</v>
      </c>
      <c r="M35">
        <f t="shared" si="11"/>
        <v>16.299999999999955</v>
      </c>
      <c r="N35">
        <f t="shared" si="12"/>
        <v>18.339999999999918</v>
      </c>
      <c r="O35">
        <f t="shared" si="13"/>
        <v>-10.210000000000036</v>
      </c>
      <c r="P35">
        <f t="shared" si="14"/>
        <v>-2.0399999999999636</v>
      </c>
      <c r="Q35">
        <f t="shared" si="10"/>
        <v>12.089999999999918</v>
      </c>
    </row>
    <row r="36" spans="1:17" x14ac:dyDescent="0.25">
      <c r="A36" s="164">
        <v>44711</v>
      </c>
      <c r="B36">
        <v>1329.7</v>
      </c>
      <c r="C36">
        <v>1331</v>
      </c>
      <c r="D36">
        <v>1319.6</v>
      </c>
      <c r="E36">
        <v>1325.6</v>
      </c>
      <c r="F36" s="11">
        <v>1337.39</v>
      </c>
      <c r="G36" s="11">
        <v>1342.87</v>
      </c>
      <c r="H36" s="11">
        <v>1329.38</v>
      </c>
      <c r="I36" s="11">
        <v>1342.87</v>
      </c>
      <c r="J36">
        <v>204.05</v>
      </c>
      <c r="K36">
        <v>121.53100000000001</v>
      </c>
      <c r="L36">
        <f>-18064/2000*4</f>
        <v>-36.128</v>
      </c>
      <c r="M36">
        <f t="shared" si="11"/>
        <v>11.400000000000091</v>
      </c>
      <c r="N36">
        <f t="shared" si="12"/>
        <v>13.489999999999782</v>
      </c>
      <c r="O36">
        <f t="shared" si="13"/>
        <v>5.4799999999997908</v>
      </c>
      <c r="P36">
        <f t="shared" si="14"/>
        <v>-2.0899999999996908</v>
      </c>
      <c r="Q36">
        <f>I36-E36</f>
        <v>17.269999999999982</v>
      </c>
    </row>
    <row r="37" spans="1:17" x14ac:dyDescent="0.25">
      <c r="A37" s="19">
        <v>44708</v>
      </c>
      <c r="B37">
        <v>1306.0999999999999</v>
      </c>
      <c r="C37">
        <v>1328.8</v>
      </c>
      <c r="D37">
        <v>1305.0999999999999</v>
      </c>
      <c r="E37">
        <v>1322.5</v>
      </c>
      <c r="F37" s="11">
        <v>1311.78</v>
      </c>
      <c r="G37" s="11">
        <v>1336.99</v>
      </c>
      <c r="H37" s="11">
        <v>1310.6400000000001</v>
      </c>
      <c r="I37" s="11">
        <v>1335.68</v>
      </c>
      <c r="J37">
        <v>255.624</v>
      </c>
      <c r="K37">
        <v>139.40600000000001</v>
      </c>
      <c r="L37">
        <f>2093/500</f>
        <v>4.1859999999999999</v>
      </c>
      <c r="M37">
        <f t="shared" si="11"/>
        <v>23.700000000000045</v>
      </c>
      <c r="N37">
        <f t="shared" si="12"/>
        <v>26.349999999999909</v>
      </c>
      <c r="O37">
        <f t="shared" si="13"/>
        <v>23.900000000000091</v>
      </c>
      <c r="P37">
        <f t="shared" si="14"/>
        <v>-2.6499999999998636</v>
      </c>
      <c r="Q37">
        <f>I37-E37</f>
        <v>13.180000000000064</v>
      </c>
    </row>
    <row r="38" spans="1:17" x14ac:dyDescent="0.25">
      <c r="A38" s="19">
        <v>44707</v>
      </c>
      <c r="B38">
        <v>1302</v>
      </c>
      <c r="C38">
        <v>1310.5</v>
      </c>
      <c r="D38">
        <v>1292.0999999999999</v>
      </c>
      <c r="E38">
        <v>1300.9000000000001</v>
      </c>
      <c r="F38" s="11">
        <v>1312.56</v>
      </c>
      <c r="G38" s="11">
        <v>1319.21</v>
      </c>
      <c r="H38" s="11">
        <v>1304.5899999999999</v>
      </c>
      <c r="I38" s="11">
        <v>1309.5</v>
      </c>
      <c r="J38">
        <v>279.32499999999999</v>
      </c>
      <c r="K38">
        <v>127.93</v>
      </c>
      <c r="L38">
        <f>2494/500</f>
        <v>4.9880000000000004</v>
      </c>
      <c r="M38">
        <f t="shared" si="11"/>
        <v>18.400000000000091</v>
      </c>
      <c r="N38">
        <f t="shared" si="12"/>
        <v>14.620000000000118</v>
      </c>
      <c r="O38">
        <f t="shared" si="13"/>
        <v>-3.0599999999999454</v>
      </c>
      <c r="P38">
        <f t="shared" si="14"/>
        <v>3.7799999999999727</v>
      </c>
      <c r="Q38">
        <f t="shared" ref="Q38:Q60" si="15">I38-E38</f>
        <v>8.5999999999999091</v>
      </c>
    </row>
    <row r="39" spans="1:17" x14ac:dyDescent="0.25">
      <c r="A39" s="19">
        <v>44706</v>
      </c>
      <c r="B39">
        <v>1275</v>
      </c>
      <c r="C39">
        <v>1306</v>
      </c>
      <c r="D39">
        <v>1268.5</v>
      </c>
      <c r="E39">
        <v>1299.3</v>
      </c>
      <c r="F39" s="11">
        <v>1277.54</v>
      </c>
      <c r="G39" s="11">
        <v>1311.32</v>
      </c>
      <c r="H39" s="11">
        <v>1273.29</v>
      </c>
      <c r="I39" s="11">
        <v>1310.7</v>
      </c>
      <c r="J39">
        <v>318.72399999999999</v>
      </c>
      <c r="K39">
        <v>172.69800000000001</v>
      </c>
      <c r="L39">
        <f>2897/5/100</f>
        <v>5.7939999999999996</v>
      </c>
      <c r="M39">
        <f t="shared" si="11"/>
        <v>37.5</v>
      </c>
      <c r="N39">
        <f t="shared" si="12"/>
        <v>38.029999999999973</v>
      </c>
      <c r="O39">
        <f t="shared" si="13"/>
        <v>33.160000000000082</v>
      </c>
      <c r="P39">
        <f t="shared" si="14"/>
        <v>-0.52999999999997272</v>
      </c>
      <c r="Q39">
        <f t="shared" si="15"/>
        <v>11.400000000000091</v>
      </c>
    </row>
    <row r="40" spans="1:17" x14ac:dyDescent="0.25">
      <c r="A40" s="19">
        <v>44705</v>
      </c>
      <c r="B40">
        <v>1253</v>
      </c>
      <c r="C40">
        <v>1271.0999999999999</v>
      </c>
      <c r="D40">
        <v>1234</v>
      </c>
      <c r="E40">
        <v>1267</v>
      </c>
      <c r="F40" s="11">
        <v>1255.77</v>
      </c>
      <c r="G40" s="11">
        <v>1272.71</v>
      </c>
      <c r="H40" s="11">
        <v>1242.3599999999999</v>
      </c>
      <c r="I40" s="11">
        <v>1272.71</v>
      </c>
      <c r="J40">
        <v>389.65800000000002</v>
      </c>
      <c r="K40">
        <v>146.36600000000001</v>
      </c>
      <c r="M40">
        <f t="shared" si="11"/>
        <v>37.099999999999909</v>
      </c>
      <c r="N40">
        <f t="shared" si="12"/>
        <v>30.350000000000136</v>
      </c>
      <c r="O40">
        <f t="shared" si="13"/>
        <v>16.940000000000055</v>
      </c>
      <c r="P40">
        <f t="shared" si="14"/>
        <v>6.7499999999997726</v>
      </c>
      <c r="Q40">
        <f t="shared" si="15"/>
        <v>5.7100000000000364</v>
      </c>
    </row>
    <row r="41" spans="1:17" x14ac:dyDescent="0.25">
      <c r="A41" s="164">
        <v>44704</v>
      </c>
      <c r="B41">
        <v>1289</v>
      </c>
      <c r="C41">
        <v>1289</v>
      </c>
      <c r="D41">
        <v>1238.0999999999999</v>
      </c>
      <c r="E41">
        <v>1253.0999999999999</v>
      </c>
      <c r="F41" s="11">
        <v>1287.49</v>
      </c>
      <c r="G41" s="11">
        <v>1287.6500000000001</v>
      </c>
      <c r="H41" s="11">
        <v>1245.4100000000001</v>
      </c>
      <c r="I41" s="11">
        <v>1255.3499999999999</v>
      </c>
      <c r="J41">
        <v>324.733</v>
      </c>
      <c r="K41">
        <v>139.33099999999999</v>
      </c>
      <c r="M41">
        <f t="shared" si="11"/>
        <v>50.900000000000091</v>
      </c>
      <c r="N41">
        <f t="shared" si="12"/>
        <v>42.240000000000009</v>
      </c>
      <c r="O41">
        <f t="shared" si="13"/>
        <v>-32.1400000000001</v>
      </c>
      <c r="P41">
        <f t="shared" si="14"/>
        <v>8.6600000000000819</v>
      </c>
      <c r="Q41">
        <f t="shared" si="15"/>
        <v>2.25</v>
      </c>
    </row>
    <row r="42" spans="1:17" x14ac:dyDescent="0.25">
      <c r="A42" s="19">
        <v>44701</v>
      </c>
      <c r="B42">
        <v>1283</v>
      </c>
      <c r="C42">
        <v>1299.2</v>
      </c>
      <c r="D42">
        <v>1259.8</v>
      </c>
      <c r="E42">
        <v>1276.8</v>
      </c>
      <c r="F42" s="11">
        <v>1284.8900000000001</v>
      </c>
      <c r="G42" s="11">
        <v>1296</v>
      </c>
      <c r="H42" s="11">
        <v>1273.4000000000001</v>
      </c>
      <c r="I42" s="11">
        <v>1282.51</v>
      </c>
      <c r="J42">
        <v>317.06799999999998</v>
      </c>
      <c r="K42">
        <v>110.1</v>
      </c>
      <c r="M42">
        <f t="shared" si="11"/>
        <v>39.400000000000091</v>
      </c>
      <c r="N42">
        <f t="shared" si="12"/>
        <v>22.599999999999909</v>
      </c>
      <c r="O42">
        <f t="shared" si="13"/>
        <v>-2.3800000000001091</v>
      </c>
      <c r="P42">
        <f t="shared" si="14"/>
        <v>16.800000000000182</v>
      </c>
      <c r="Q42">
        <f t="shared" si="15"/>
        <v>5.7100000000000364</v>
      </c>
    </row>
    <row r="43" spans="1:17" x14ac:dyDescent="0.25">
      <c r="A43" s="19">
        <v>44700</v>
      </c>
      <c r="B43">
        <v>1255</v>
      </c>
      <c r="C43">
        <v>1285.2</v>
      </c>
      <c r="D43">
        <v>1253</v>
      </c>
      <c r="E43">
        <v>1274.5</v>
      </c>
      <c r="F43" s="11">
        <v>1259.5899999999999</v>
      </c>
      <c r="G43" s="11">
        <v>1291.49</v>
      </c>
      <c r="H43" s="11">
        <v>1255.6300000000001</v>
      </c>
      <c r="I43" s="11">
        <v>1283.55</v>
      </c>
      <c r="K43">
        <v>130.077</v>
      </c>
      <c r="M43">
        <f t="shared" si="11"/>
        <v>32.200000000000045</v>
      </c>
      <c r="N43">
        <f t="shared" si="12"/>
        <v>35.8599999999999</v>
      </c>
      <c r="O43">
        <f t="shared" si="13"/>
        <v>23.960000000000036</v>
      </c>
      <c r="P43">
        <f t="shared" si="14"/>
        <v>-3.6599999999998545</v>
      </c>
      <c r="Q43">
        <f t="shared" si="15"/>
        <v>9.0499999999999545</v>
      </c>
    </row>
    <row r="44" spans="1:17" x14ac:dyDescent="0.25">
      <c r="A44" s="19">
        <v>44699</v>
      </c>
      <c r="B44">
        <v>1275</v>
      </c>
      <c r="C44">
        <v>1303.9000000000001</v>
      </c>
      <c r="D44">
        <v>1268</v>
      </c>
      <c r="E44">
        <v>1281.5</v>
      </c>
      <c r="F44" s="11">
        <v>1289.5</v>
      </c>
      <c r="G44" s="11">
        <v>1298.69</v>
      </c>
      <c r="H44" s="11">
        <v>1268.1300000000001</v>
      </c>
      <c r="I44" s="11">
        <v>1286.4100000000001</v>
      </c>
      <c r="K44">
        <v>159.93799999999999</v>
      </c>
      <c r="M44">
        <f t="shared" si="11"/>
        <v>35.900000000000091</v>
      </c>
      <c r="N44">
        <f t="shared" si="12"/>
        <v>30.559999999999945</v>
      </c>
      <c r="O44">
        <f t="shared" si="13"/>
        <v>-3.0899999999999181</v>
      </c>
      <c r="P44">
        <f t="shared" si="14"/>
        <v>5.3400000000001455</v>
      </c>
      <c r="Q44">
        <f t="shared" si="15"/>
        <v>4.9100000000000819</v>
      </c>
    </row>
    <row r="45" spans="1:17" x14ac:dyDescent="0.25">
      <c r="A45" s="19">
        <v>44698</v>
      </c>
      <c r="B45">
        <v>1226</v>
      </c>
      <c r="C45">
        <v>1282</v>
      </c>
      <c r="D45">
        <v>1206.3</v>
      </c>
      <c r="E45">
        <v>1281.8</v>
      </c>
      <c r="F45" s="11">
        <v>1211.8800000000001</v>
      </c>
      <c r="G45" s="11">
        <v>1279.55</v>
      </c>
      <c r="H45" s="11">
        <v>1203.51</v>
      </c>
      <c r="I45" s="11">
        <v>1279.55</v>
      </c>
      <c r="K45">
        <v>161.81700000000001</v>
      </c>
      <c r="M45">
        <f t="shared" si="11"/>
        <v>75.700000000000045</v>
      </c>
      <c r="N45">
        <f t="shared" si="12"/>
        <v>76.039999999999964</v>
      </c>
      <c r="O45">
        <f t="shared" si="13"/>
        <v>67.669999999999845</v>
      </c>
      <c r="P45">
        <f t="shared" si="14"/>
        <v>-0.33999999999991815</v>
      </c>
      <c r="Q45">
        <f t="shared" si="15"/>
        <v>-2.25</v>
      </c>
    </row>
    <row r="46" spans="1:17" x14ac:dyDescent="0.25">
      <c r="A46" s="164">
        <v>44697</v>
      </c>
      <c r="B46">
        <v>1240</v>
      </c>
      <c r="C46">
        <v>1261.9000000000001</v>
      </c>
      <c r="D46">
        <v>1212</v>
      </c>
      <c r="E46">
        <v>1212</v>
      </c>
      <c r="F46" s="11">
        <v>1254.8800000000001</v>
      </c>
      <c r="G46" s="11">
        <v>1258.25</v>
      </c>
      <c r="H46" s="11">
        <v>1214.29</v>
      </c>
      <c r="I46" s="11">
        <v>1215.08</v>
      </c>
      <c r="K46">
        <v>172.77</v>
      </c>
      <c r="M46">
        <f t="shared" si="11"/>
        <v>49.900000000000091</v>
      </c>
      <c r="N46">
        <f t="shared" si="12"/>
        <v>43.960000000000036</v>
      </c>
      <c r="O46">
        <f t="shared" si="13"/>
        <v>-39.800000000000182</v>
      </c>
      <c r="P46">
        <f t="shared" si="14"/>
        <v>5.9400000000000546</v>
      </c>
      <c r="Q46">
        <f t="shared" si="15"/>
        <v>3.0799999999999272</v>
      </c>
    </row>
    <row r="47" spans="1:17" x14ac:dyDescent="0.25">
      <c r="A47" s="19">
        <v>44694</v>
      </c>
      <c r="B47">
        <v>1272</v>
      </c>
      <c r="C47">
        <v>1288.0999999999999</v>
      </c>
      <c r="D47">
        <v>1214.7</v>
      </c>
      <c r="E47">
        <v>1225</v>
      </c>
      <c r="F47" s="11">
        <v>1281.28</v>
      </c>
      <c r="G47" s="11">
        <v>1284.94</v>
      </c>
      <c r="H47" s="11">
        <v>1219.52</v>
      </c>
      <c r="I47" s="11">
        <v>1223.76</v>
      </c>
      <c r="K47">
        <v>237.55500000000001</v>
      </c>
      <c r="M47">
        <f t="shared" si="11"/>
        <v>73.399999999999864</v>
      </c>
      <c r="N47">
        <f t="shared" si="12"/>
        <v>65.420000000000073</v>
      </c>
      <c r="O47">
        <f t="shared" si="13"/>
        <v>-57.519999999999982</v>
      </c>
      <c r="P47">
        <f t="shared" si="14"/>
        <v>7.9799999999997908</v>
      </c>
      <c r="Q47">
        <f t="shared" si="15"/>
        <v>-1.2400000000000091</v>
      </c>
    </row>
    <row r="48" spans="1:17" x14ac:dyDescent="0.25">
      <c r="A48" s="19">
        <v>44693</v>
      </c>
      <c r="B48">
        <v>1334</v>
      </c>
      <c r="C48">
        <v>1334</v>
      </c>
      <c r="D48">
        <v>1262</v>
      </c>
      <c r="E48">
        <v>1270</v>
      </c>
      <c r="F48" s="11">
        <v>1337.01</v>
      </c>
      <c r="G48" s="11">
        <v>1339.25</v>
      </c>
      <c r="H48" s="11">
        <v>1279.48</v>
      </c>
      <c r="I48" s="11">
        <v>1279.76</v>
      </c>
      <c r="K48">
        <v>163.22399999999999</v>
      </c>
      <c r="M48">
        <f t="shared" si="11"/>
        <v>72</v>
      </c>
      <c r="N48">
        <f t="shared" si="12"/>
        <v>59.769999999999982</v>
      </c>
      <c r="O48">
        <f t="shared" si="13"/>
        <v>-57.25</v>
      </c>
      <c r="P48">
        <f t="shared" si="14"/>
        <v>12.230000000000018</v>
      </c>
      <c r="Q48">
        <f t="shared" si="15"/>
        <v>9.7599999999999909</v>
      </c>
    </row>
    <row r="49" spans="1:17" x14ac:dyDescent="0.25">
      <c r="A49" s="19">
        <v>44692</v>
      </c>
      <c r="B49">
        <v>1335</v>
      </c>
      <c r="C49">
        <v>1349</v>
      </c>
      <c r="D49">
        <v>1318</v>
      </c>
      <c r="E49">
        <v>1337</v>
      </c>
      <c r="F49" s="11">
        <v>1344.14</v>
      </c>
      <c r="G49" s="11">
        <v>1355.11</v>
      </c>
      <c r="H49" s="11">
        <v>1324.2</v>
      </c>
      <c r="I49" s="11">
        <v>1349.82</v>
      </c>
      <c r="K49">
        <v>94.774000000000001</v>
      </c>
      <c r="M49">
        <f t="shared" si="11"/>
        <v>31</v>
      </c>
      <c r="N49">
        <f t="shared" si="12"/>
        <v>30.909999999999854</v>
      </c>
      <c r="O49">
        <f t="shared" si="13"/>
        <v>5.6799999999998363</v>
      </c>
      <c r="P49">
        <f t="shared" si="14"/>
        <v>9.0000000000145519E-2</v>
      </c>
      <c r="Q49">
        <f t="shared" si="15"/>
        <v>12.819999999999936</v>
      </c>
    </row>
    <row r="50" spans="1:17" x14ac:dyDescent="0.25">
      <c r="A50" s="19">
        <v>44691</v>
      </c>
      <c r="B50">
        <v>1299.8</v>
      </c>
      <c r="C50">
        <v>1340.9</v>
      </c>
      <c r="D50">
        <v>1291.0999999999999</v>
      </c>
      <c r="E50">
        <v>1335</v>
      </c>
      <c r="F50" s="11">
        <v>1312.1</v>
      </c>
      <c r="G50" s="11">
        <v>1345.46</v>
      </c>
      <c r="H50" s="11">
        <v>1285.67</v>
      </c>
      <c r="I50" s="11">
        <v>1345.46</v>
      </c>
      <c r="K50">
        <v>157.23400000000001</v>
      </c>
      <c r="M50">
        <f t="shared" si="11"/>
        <v>49.800000000000182</v>
      </c>
      <c r="N50">
        <f t="shared" si="12"/>
        <v>59.789999999999964</v>
      </c>
      <c r="O50">
        <f t="shared" si="13"/>
        <v>33.360000000000127</v>
      </c>
      <c r="P50">
        <f t="shared" si="14"/>
        <v>-9.9899999999997817</v>
      </c>
      <c r="Q50">
        <f t="shared" si="15"/>
        <v>10.460000000000036</v>
      </c>
    </row>
    <row r="51" spans="1:17" x14ac:dyDescent="0.25">
      <c r="A51" s="164">
        <v>44690</v>
      </c>
      <c r="B51">
        <v>1353.7</v>
      </c>
      <c r="C51">
        <v>1355.8</v>
      </c>
      <c r="D51">
        <v>1300</v>
      </c>
      <c r="E51">
        <v>1308.0999999999999</v>
      </c>
      <c r="F51" s="11">
        <v>1358.56</v>
      </c>
      <c r="G51" s="11">
        <v>1360.64</v>
      </c>
      <c r="H51" s="11">
        <v>1308.3399999999999</v>
      </c>
      <c r="I51" s="11">
        <v>1314.04</v>
      </c>
      <c r="K51">
        <v>200.87899999999999</v>
      </c>
      <c r="M51">
        <f t="shared" si="11"/>
        <v>55.799999999999955</v>
      </c>
      <c r="N51">
        <f t="shared" si="12"/>
        <v>52.300000000000182</v>
      </c>
      <c r="O51">
        <f t="shared" si="13"/>
        <v>-44.519999999999982</v>
      </c>
      <c r="P51">
        <f t="shared" si="14"/>
        <v>3.4999999999997726</v>
      </c>
      <c r="Q51">
        <f t="shared" si="15"/>
        <v>5.9400000000000546</v>
      </c>
    </row>
    <row r="52" spans="1:17" x14ac:dyDescent="0.25">
      <c r="A52" s="19">
        <v>44687</v>
      </c>
      <c r="B52">
        <v>1382</v>
      </c>
      <c r="C52">
        <v>1396.3</v>
      </c>
      <c r="D52">
        <v>1358.8</v>
      </c>
      <c r="E52">
        <v>1362</v>
      </c>
      <c r="F52" s="11">
        <v>1399.54</v>
      </c>
      <c r="G52" s="11">
        <v>1399.54</v>
      </c>
      <c r="H52" s="11">
        <v>1371</v>
      </c>
      <c r="I52" s="11">
        <v>1373.21</v>
      </c>
      <c r="K52">
        <v>129.90700000000001</v>
      </c>
      <c r="M52">
        <f t="shared" si="11"/>
        <v>37.5</v>
      </c>
      <c r="N52">
        <f t="shared" si="12"/>
        <v>28.539999999999964</v>
      </c>
      <c r="O52">
        <f t="shared" si="13"/>
        <v>-26.329999999999927</v>
      </c>
      <c r="P52">
        <f t="shared" si="14"/>
        <v>8.9600000000000364</v>
      </c>
      <c r="Q52">
        <f t="shared" si="15"/>
        <v>11.210000000000036</v>
      </c>
    </row>
    <row r="53" spans="1:17" x14ac:dyDescent="0.25">
      <c r="A53" s="19">
        <v>44686</v>
      </c>
      <c r="B53">
        <v>1392</v>
      </c>
      <c r="C53">
        <v>1403.6</v>
      </c>
      <c r="D53">
        <v>1372.6</v>
      </c>
      <c r="E53">
        <v>1402.5</v>
      </c>
      <c r="F53" s="11">
        <v>1402.6</v>
      </c>
      <c r="G53" s="11">
        <v>1405.43</v>
      </c>
      <c r="H53" s="11">
        <v>1373.42</v>
      </c>
      <c r="I53" s="11">
        <v>1404.88</v>
      </c>
      <c r="K53">
        <v>122.134</v>
      </c>
      <c r="M53">
        <f t="shared" si="11"/>
        <v>31</v>
      </c>
      <c r="N53">
        <f t="shared" si="12"/>
        <v>32.009999999999991</v>
      </c>
      <c r="O53">
        <f t="shared" si="13"/>
        <v>2.2800000000002001</v>
      </c>
      <c r="P53">
        <f t="shared" si="14"/>
        <v>-1.0099999999999909</v>
      </c>
      <c r="Q53">
        <f t="shared" si="15"/>
        <v>2.3800000000001091</v>
      </c>
    </row>
    <row r="54" spans="1:17" x14ac:dyDescent="0.25">
      <c r="A54" s="164">
        <v>44685</v>
      </c>
      <c r="B54">
        <v>1408.3</v>
      </c>
      <c r="C54">
        <v>1409.9</v>
      </c>
      <c r="D54">
        <v>1383</v>
      </c>
      <c r="E54">
        <v>1383</v>
      </c>
      <c r="F54" s="11">
        <v>1415.43</v>
      </c>
      <c r="G54" s="11">
        <v>1415.45</v>
      </c>
      <c r="H54" s="11">
        <v>1389.59</v>
      </c>
      <c r="I54" s="11">
        <v>1389.59</v>
      </c>
      <c r="K54">
        <v>114.19</v>
      </c>
      <c r="M54">
        <f t="shared" si="11"/>
        <v>26.900000000000091</v>
      </c>
      <c r="N54">
        <f t="shared" si="12"/>
        <v>25.860000000000127</v>
      </c>
      <c r="O54">
        <f t="shared" si="13"/>
        <v>-25.840000000000146</v>
      </c>
      <c r="P54">
        <f t="shared" si="14"/>
        <v>1.0399999999999636</v>
      </c>
      <c r="Q54">
        <f t="shared" si="15"/>
        <v>6.5899999999999181</v>
      </c>
    </row>
    <row r="55" spans="1:17" x14ac:dyDescent="0.25">
      <c r="A55" s="19">
        <v>44680</v>
      </c>
      <c r="B55">
        <v>1395</v>
      </c>
      <c r="C55">
        <v>1421.6</v>
      </c>
      <c r="D55">
        <v>1389.6</v>
      </c>
      <c r="E55">
        <v>1409</v>
      </c>
      <c r="F55" s="11">
        <v>1398.27</v>
      </c>
      <c r="G55" s="11">
        <v>1417.31</v>
      </c>
      <c r="H55" s="11">
        <v>1394.17</v>
      </c>
      <c r="I55" s="11">
        <v>1417.31</v>
      </c>
      <c r="K55">
        <v>128.035</v>
      </c>
      <c r="M55">
        <f t="shared" si="11"/>
        <v>32</v>
      </c>
      <c r="N55">
        <f t="shared" si="12"/>
        <v>23.139999999999873</v>
      </c>
      <c r="O55">
        <f t="shared" si="13"/>
        <v>19.039999999999964</v>
      </c>
      <c r="P55">
        <f t="shared" si="14"/>
        <v>8.8600000000001273</v>
      </c>
      <c r="Q55">
        <f t="shared" si="15"/>
        <v>8.3099999999999454</v>
      </c>
    </row>
    <row r="56" spans="1:17" x14ac:dyDescent="0.25">
      <c r="A56" s="19">
        <v>44679</v>
      </c>
      <c r="B56">
        <v>1399.7</v>
      </c>
      <c r="C56">
        <v>1406.7</v>
      </c>
      <c r="D56">
        <v>1388</v>
      </c>
      <c r="E56">
        <v>1392</v>
      </c>
      <c r="F56" s="11">
        <v>1400.6</v>
      </c>
      <c r="G56" s="11">
        <v>1407.82</v>
      </c>
      <c r="H56" s="11">
        <v>1392.24</v>
      </c>
      <c r="I56" s="11">
        <v>1400.88</v>
      </c>
      <c r="K56">
        <v>91.674999999999997</v>
      </c>
      <c r="M56">
        <f t="shared" si="11"/>
        <v>18.700000000000045</v>
      </c>
      <c r="N56">
        <f t="shared" si="12"/>
        <v>15.579999999999927</v>
      </c>
      <c r="O56">
        <f t="shared" si="13"/>
        <v>0.28000000000020009</v>
      </c>
      <c r="P56">
        <f t="shared" ref="P56:P60" si="16">M56-N56</f>
        <v>3.1200000000001182</v>
      </c>
      <c r="Q56">
        <f t="shared" si="15"/>
        <v>8.8800000000001091</v>
      </c>
    </row>
    <row r="57" spans="1:17" x14ac:dyDescent="0.25">
      <c r="A57" s="19">
        <v>44678</v>
      </c>
      <c r="B57">
        <v>1379</v>
      </c>
      <c r="C57">
        <v>1406</v>
      </c>
      <c r="D57">
        <v>1358.1</v>
      </c>
      <c r="E57">
        <v>1401</v>
      </c>
      <c r="F57" s="11">
        <v>1394.85</v>
      </c>
      <c r="G57" s="11">
        <v>1407.7</v>
      </c>
      <c r="H57" s="11">
        <v>1362.87</v>
      </c>
      <c r="I57" s="11">
        <v>1402.03</v>
      </c>
      <c r="K57">
        <v>108.117</v>
      </c>
      <c r="M57">
        <f t="shared" si="11"/>
        <v>47.900000000000091</v>
      </c>
      <c r="N57">
        <f t="shared" si="12"/>
        <v>44.830000000000155</v>
      </c>
      <c r="O57">
        <f t="shared" si="13"/>
        <v>7.1800000000000637</v>
      </c>
      <c r="P57">
        <f t="shared" si="16"/>
        <v>3.0699999999999363</v>
      </c>
      <c r="Q57">
        <f t="shared" si="15"/>
        <v>1.0299999999999727</v>
      </c>
    </row>
    <row r="58" spans="1:17" x14ac:dyDescent="0.25">
      <c r="A58" s="19">
        <v>44677</v>
      </c>
      <c r="B58">
        <v>1356.1</v>
      </c>
      <c r="C58">
        <v>1393.2</v>
      </c>
      <c r="D58">
        <v>1327.1</v>
      </c>
      <c r="E58">
        <v>1391</v>
      </c>
      <c r="F58" s="11">
        <v>1347.83</v>
      </c>
      <c r="G58" s="11">
        <v>1397.43</v>
      </c>
      <c r="H58" s="11">
        <v>1318.5</v>
      </c>
      <c r="I58" s="11">
        <v>1396.9</v>
      </c>
      <c r="K58">
        <v>181.77699999999999</v>
      </c>
      <c r="M58">
        <f t="shared" si="11"/>
        <v>66.100000000000136</v>
      </c>
      <c r="N58">
        <f t="shared" si="12"/>
        <v>78.930000000000064</v>
      </c>
      <c r="O58">
        <f t="shared" si="13"/>
        <v>49.070000000000164</v>
      </c>
      <c r="P58">
        <f t="shared" si="16"/>
        <v>-12.829999999999927</v>
      </c>
      <c r="Q58">
        <f t="shared" si="15"/>
        <v>5.9000000000000909</v>
      </c>
    </row>
    <row r="59" spans="1:17" x14ac:dyDescent="0.25">
      <c r="A59" s="164">
        <v>44676</v>
      </c>
      <c r="B59">
        <v>1442.9</v>
      </c>
      <c r="C59">
        <v>1445.6</v>
      </c>
      <c r="D59">
        <v>1345.3</v>
      </c>
      <c r="E59">
        <v>1353.1</v>
      </c>
      <c r="F59" s="11">
        <v>1444.79</v>
      </c>
      <c r="G59" s="11">
        <v>1445.62</v>
      </c>
      <c r="H59" s="11">
        <v>1356.36</v>
      </c>
      <c r="I59" s="11">
        <v>1366.39</v>
      </c>
      <c r="K59">
        <v>202.42599999999999</v>
      </c>
      <c r="M59">
        <f t="shared" si="11"/>
        <v>100.29999999999995</v>
      </c>
      <c r="N59">
        <f t="shared" si="12"/>
        <v>89.259999999999991</v>
      </c>
      <c r="O59">
        <f t="shared" si="13"/>
        <v>-78.399999999999864</v>
      </c>
      <c r="P59">
        <f t="shared" si="16"/>
        <v>11.039999999999964</v>
      </c>
      <c r="Q59">
        <f t="shared" si="15"/>
        <v>13.290000000000191</v>
      </c>
    </row>
    <row r="60" spans="1:17" x14ac:dyDescent="0.25">
      <c r="A60" s="19">
        <v>44673</v>
      </c>
      <c r="B60">
        <v>1442.3</v>
      </c>
      <c r="C60">
        <v>1459.8</v>
      </c>
      <c r="D60">
        <v>1434.7</v>
      </c>
      <c r="E60">
        <v>1445</v>
      </c>
      <c r="F60" s="11">
        <v>1439.32</v>
      </c>
      <c r="G60" s="11">
        <v>1455.15</v>
      </c>
      <c r="H60" s="11">
        <v>1419.05</v>
      </c>
      <c r="I60" s="11">
        <v>1444.32</v>
      </c>
      <c r="K60">
        <v>150.755</v>
      </c>
      <c r="M60">
        <f t="shared" si="11"/>
        <v>25.099999999999909</v>
      </c>
      <c r="N60">
        <f t="shared" si="12"/>
        <v>36.100000000000136</v>
      </c>
      <c r="O60">
        <f t="shared" si="13"/>
        <v>5</v>
      </c>
      <c r="P60">
        <f t="shared" si="16"/>
        <v>-11.000000000000227</v>
      </c>
      <c r="Q60">
        <f t="shared" si="15"/>
        <v>-0.68000000000006366</v>
      </c>
    </row>
    <row r="61" spans="1:17" x14ac:dyDescent="0.25">
      <c r="A61" s="19">
        <v>44672</v>
      </c>
      <c r="F61" s="11">
        <v>1434.77</v>
      </c>
      <c r="G61" s="11">
        <v>1452.41</v>
      </c>
      <c r="H61" s="11">
        <v>1422.7</v>
      </c>
      <c r="I61" s="11">
        <v>1426.87</v>
      </c>
      <c r="K61">
        <v>172.35900000000001</v>
      </c>
      <c r="M61">
        <f t="shared" si="11"/>
        <v>0</v>
      </c>
      <c r="N61">
        <f t="shared" si="12"/>
        <v>29.710000000000036</v>
      </c>
      <c r="O61">
        <f t="shared" si="13"/>
        <v>-7.9000000000000909</v>
      </c>
    </row>
    <row r="62" spans="1:17" x14ac:dyDescent="0.25">
      <c r="A62" s="19">
        <v>44671</v>
      </c>
      <c r="F62" s="11">
        <v>1440.9</v>
      </c>
      <c r="G62" s="11">
        <v>1453.81</v>
      </c>
      <c r="H62" s="11">
        <v>1434.87</v>
      </c>
      <c r="I62" s="11">
        <v>1435.5</v>
      </c>
      <c r="K62">
        <v>150.22200000000001</v>
      </c>
      <c r="M62">
        <f t="shared" si="11"/>
        <v>0</v>
      </c>
      <c r="N62">
        <f t="shared" si="12"/>
        <v>18.940000000000055</v>
      </c>
      <c r="O62">
        <f t="shared" si="13"/>
        <v>-5.4000000000000909</v>
      </c>
    </row>
    <row r="63" spans="1:17" x14ac:dyDescent="0.25">
      <c r="A63" s="19">
        <v>44670</v>
      </c>
      <c r="F63" s="11">
        <v>1471.63</v>
      </c>
      <c r="G63" s="11">
        <v>1478.5</v>
      </c>
      <c r="H63" s="11">
        <v>1440.61</v>
      </c>
      <c r="I63" s="11">
        <v>1440.61</v>
      </c>
      <c r="K63">
        <v>156.62</v>
      </c>
      <c r="M63">
        <f t="shared" si="11"/>
        <v>0</v>
      </c>
      <c r="N63">
        <f t="shared" si="12"/>
        <v>37.8900000000001</v>
      </c>
      <c r="O63">
        <f t="shared" si="13"/>
        <v>-31.020000000000209</v>
      </c>
    </row>
    <row r="64" spans="1:17" x14ac:dyDescent="0.25">
      <c r="A64" s="164">
        <v>44669</v>
      </c>
      <c r="F64" s="11">
        <v>1493.17</v>
      </c>
      <c r="G64" s="11">
        <v>1493.24</v>
      </c>
      <c r="H64" s="11">
        <v>1466.73</v>
      </c>
      <c r="I64" s="11">
        <v>1468.25</v>
      </c>
      <c r="K64">
        <v>194.44200000000001</v>
      </c>
      <c r="M64">
        <f t="shared" si="11"/>
        <v>0</v>
      </c>
      <c r="N64">
        <f t="shared" si="12"/>
        <v>26.509999999999991</v>
      </c>
      <c r="O64">
        <f t="shared" si="13"/>
        <v>-24.920000000000073</v>
      </c>
    </row>
    <row r="65" spans="1:15" x14ac:dyDescent="0.25">
      <c r="A65" s="19">
        <v>44666</v>
      </c>
      <c r="F65" s="11">
        <v>1514.89</v>
      </c>
      <c r="G65" s="11">
        <v>1518.85</v>
      </c>
      <c r="H65" s="11">
        <v>1491.26</v>
      </c>
      <c r="I65" s="11">
        <v>1493.74</v>
      </c>
      <c r="K65">
        <v>181.76499999999999</v>
      </c>
      <c r="M65">
        <f t="shared" si="11"/>
        <v>0</v>
      </c>
      <c r="N65">
        <f t="shared" si="12"/>
        <v>27.589999999999918</v>
      </c>
      <c r="O65">
        <f t="shared" si="13"/>
        <v>-21.150000000000091</v>
      </c>
    </row>
    <row r="66" spans="1:15" x14ac:dyDescent="0.25">
      <c r="A66" s="19">
        <v>44665</v>
      </c>
      <c r="F66" s="11">
        <v>1526.49</v>
      </c>
      <c r="G66" s="11">
        <v>1534.28</v>
      </c>
      <c r="H66" s="11">
        <v>1517.07</v>
      </c>
      <c r="I66" s="11">
        <v>1518.01</v>
      </c>
      <c r="K66">
        <v>119.60899999999999</v>
      </c>
      <c r="M66">
        <f t="shared" si="11"/>
        <v>0</v>
      </c>
      <c r="N66">
        <f t="shared" si="12"/>
        <v>17.210000000000036</v>
      </c>
      <c r="O66">
        <f t="shared" si="13"/>
        <v>-8.4800000000000182</v>
      </c>
    </row>
    <row r="67" spans="1:15" x14ac:dyDescent="0.25">
      <c r="A67" s="19">
        <v>44664</v>
      </c>
      <c r="F67" s="11">
        <v>1512.37</v>
      </c>
      <c r="G67" s="11">
        <v>1526.44</v>
      </c>
      <c r="H67" s="11">
        <v>1506.45</v>
      </c>
      <c r="I67" s="11">
        <v>1525.39</v>
      </c>
      <c r="K67">
        <v>143.87200000000001</v>
      </c>
      <c r="M67">
        <f t="shared" si="11"/>
        <v>0</v>
      </c>
      <c r="N67">
        <f t="shared" si="12"/>
        <v>19.990000000000009</v>
      </c>
      <c r="O67">
        <f t="shared" si="13"/>
        <v>13.020000000000209</v>
      </c>
    </row>
    <row r="68" spans="1:15" x14ac:dyDescent="0.25">
      <c r="A68" s="19">
        <v>44663</v>
      </c>
      <c r="F68" s="11">
        <v>1530.3</v>
      </c>
      <c r="G68" s="11">
        <v>1532.03</v>
      </c>
      <c r="H68" s="11">
        <v>1506.41</v>
      </c>
      <c r="I68" s="11">
        <v>1507.2</v>
      </c>
      <c r="K68">
        <v>152.482</v>
      </c>
      <c r="M68">
        <f t="shared" si="11"/>
        <v>0</v>
      </c>
      <c r="N68">
        <f t="shared" si="12"/>
        <v>25.619999999999891</v>
      </c>
      <c r="O68">
        <f t="shared" si="13"/>
        <v>-23.099999999999909</v>
      </c>
    </row>
    <row r="69" spans="1:15" x14ac:dyDescent="0.25">
      <c r="A69" s="164">
        <v>44659</v>
      </c>
      <c r="F69" s="11">
        <v>1541.78</v>
      </c>
      <c r="G69" s="11">
        <v>1547.6</v>
      </c>
      <c r="H69" s="11">
        <v>1524.31</v>
      </c>
      <c r="I69" s="11">
        <v>1524.31</v>
      </c>
      <c r="K69">
        <v>156.33600000000001</v>
      </c>
      <c r="M69">
        <f t="shared" si="11"/>
        <v>0</v>
      </c>
      <c r="N69">
        <f t="shared" si="12"/>
        <v>23.289999999999964</v>
      </c>
      <c r="O69">
        <f t="shared" si="13"/>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2AAE-15E0-475F-AE66-24AD3A8CC11E}">
  <dimension ref="A1:F7"/>
  <sheetViews>
    <sheetView workbookViewId="0">
      <selection activeCell="D11" sqref="D11"/>
    </sheetView>
  </sheetViews>
  <sheetFormatPr defaultRowHeight="15" x14ac:dyDescent="0.25"/>
  <cols>
    <col min="1" max="1" width="10.42578125" bestFit="1" customWidth="1"/>
    <col min="2" max="2" width="32.42578125" bestFit="1" customWidth="1"/>
    <col min="3" max="3" width="9.140625" customWidth="1"/>
    <col min="4" max="4" width="64.28515625" bestFit="1" customWidth="1"/>
  </cols>
  <sheetData>
    <row r="1" spans="1:6" x14ac:dyDescent="0.25">
      <c r="A1" t="s">
        <v>12</v>
      </c>
      <c r="B1" t="s">
        <v>11</v>
      </c>
      <c r="C1" t="s">
        <v>13</v>
      </c>
      <c r="D1" t="s">
        <v>14</v>
      </c>
      <c r="E1" t="s">
        <v>1</v>
      </c>
    </row>
    <row r="2" spans="1:6" x14ac:dyDescent="0.25">
      <c r="A2" s="2" t="s">
        <v>9</v>
      </c>
      <c r="B2" s="2" t="s">
        <v>60</v>
      </c>
      <c r="C2" s="2" t="s">
        <v>15</v>
      </c>
      <c r="D2" s="2" t="s">
        <v>61</v>
      </c>
      <c r="E2" s="1" t="s">
        <v>10</v>
      </c>
    </row>
    <row r="3" spans="1:6" x14ac:dyDescent="0.25">
      <c r="A3" s="2" t="s">
        <v>9</v>
      </c>
      <c r="B3" t="s">
        <v>17</v>
      </c>
      <c r="C3" t="s">
        <v>18</v>
      </c>
      <c r="E3" s="1" t="s">
        <v>16</v>
      </c>
    </row>
    <row r="4" spans="1:6" x14ac:dyDescent="0.25">
      <c r="A4" s="10" t="s">
        <v>19</v>
      </c>
      <c r="B4" s="11" t="s">
        <v>20</v>
      </c>
      <c r="C4" s="11" t="s">
        <v>21</v>
      </c>
      <c r="D4" s="11" t="s">
        <v>59</v>
      </c>
      <c r="E4" s="11" t="s">
        <v>22</v>
      </c>
    </row>
    <row r="5" spans="1:6" x14ac:dyDescent="0.25">
      <c r="A5" s="3" t="s">
        <v>71</v>
      </c>
      <c r="B5" t="s">
        <v>67</v>
      </c>
      <c r="C5" t="s">
        <v>68</v>
      </c>
      <c r="D5" t="s">
        <v>66</v>
      </c>
      <c r="E5" t="s">
        <v>64</v>
      </c>
      <c r="F5" t="s">
        <v>65</v>
      </c>
    </row>
    <row r="6" spans="1:6" x14ac:dyDescent="0.25">
      <c r="A6" s="3" t="s">
        <v>71</v>
      </c>
      <c r="B6" t="s">
        <v>69</v>
      </c>
      <c r="C6" t="s">
        <v>70</v>
      </c>
    </row>
    <row r="7" spans="1:6" x14ac:dyDescent="0.25">
      <c r="A7" s="19">
        <v>43670</v>
      </c>
      <c r="B7" t="s">
        <v>96</v>
      </c>
      <c r="C7" t="s">
        <v>97</v>
      </c>
      <c r="D7" t="s">
        <v>94</v>
      </c>
      <c r="E7" t="s">
        <v>95</v>
      </c>
    </row>
  </sheetData>
  <hyperlinks>
    <hyperlink ref="E2" r:id="rId1" xr:uid="{54928C64-C17E-4490-8471-EBA6A6F491A4}"/>
    <hyperlink ref="E3" r:id="rId2" xr:uid="{66D10D2C-F202-4011-AD40-EA65FB16A0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57E11-72F4-4D14-861F-CA0F71C99BE4}">
  <dimension ref="A1:E15"/>
  <sheetViews>
    <sheetView workbookViewId="0">
      <selection activeCell="D15" sqref="D15"/>
    </sheetView>
  </sheetViews>
  <sheetFormatPr defaultRowHeight="15" x14ac:dyDescent="0.25"/>
  <cols>
    <col min="1" max="1" width="10.42578125" bestFit="1" customWidth="1"/>
    <col min="2" max="2" width="49.140625" bestFit="1" customWidth="1"/>
    <col min="3" max="3" width="9.140625" style="7"/>
    <col min="4" max="4" width="88.28515625" bestFit="1" customWidth="1"/>
  </cols>
  <sheetData>
    <row r="1" spans="1:5" x14ac:dyDescent="0.25">
      <c r="A1" t="s">
        <v>73</v>
      </c>
    </row>
    <row r="3" spans="1:5" x14ac:dyDescent="0.25">
      <c r="A3" s="3" t="s">
        <v>19</v>
      </c>
      <c r="B3" t="s">
        <v>47</v>
      </c>
      <c r="D3" t="s">
        <v>48</v>
      </c>
      <c r="E3" t="s">
        <v>46</v>
      </c>
    </row>
    <row r="4" spans="1:5" x14ac:dyDescent="0.25">
      <c r="A4" s="3" t="s">
        <v>19</v>
      </c>
      <c r="B4" t="s">
        <v>53</v>
      </c>
      <c r="D4" t="s">
        <v>54</v>
      </c>
      <c r="E4" t="s">
        <v>52</v>
      </c>
    </row>
    <row r="6" spans="1:5" x14ac:dyDescent="0.25">
      <c r="A6" t="s">
        <v>12</v>
      </c>
      <c r="B6" t="s">
        <v>11</v>
      </c>
      <c r="C6" s="7" t="s">
        <v>13</v>
      </c>
      <c r="D6" t="s">
        <v>14</v>
      </c>
      <c r="E6" t="s">
        <v>1</v>
      </c>
    </row>
    <row r="7" spans="1:5" x14ac:dyDescent="0.25">
      <c r="A7" s="3" t="s">
        <v>19</v>
      </c>
      <c r="B7" t="s">
        <v>23</v>
      </c>
      <c r="C7" s="7">
        <v>766</v>
      </c>
      <c r="D7" t="s">
        <v>25</v>
      </c>
      <c r="E7" t="s">
        <v>24</v>
      </c>
    </row>
    <row r="8" spans="1:5" x14ac:dyDescent="0.25">
      <c r="A8" s="3" t="s">
        <v>19</v>
      </c>
      <c r="B8" t="s">
        <v>23</v>
      </c>
      <c r="C8" s="7">
        <v>563</v>
      </c>
      <c r="D8" t="s">
        <v>27</v>
      </c>
      <c r="E8" t="s">
        <v>26</v>
      </c>
    </row>
    <row r="9" spans="1:5" x14ac:dyDescent="0.25">
      <c r="A9" s="4" t="s">
        <v>19</v>
      </c>
      <c r="B9" s="5" t="s">
        <v>29</v>
      </c>
      <c r="C9" s="8">
        <v>1175</v>
      </c>
      <c r="D9" s="5" t="s">
        <v>30</v>
      </c>
      <c r="E9" t="s">
        <v>28</v>
      </c>
    </row>
    <row r="10" spans="1:5" x14ac:dyDescent="0.25">
      <c r="A10" s="3" t="s">
        <v>19</v>
      </c>
      <c r="B10" s="6" t="s">
        <v>33</v>
      </c>
      <c r="C10" s="9">
        <v>95</v>
      </c>
      <c r="D10" s="6" t="s">
        <v>32</v>
      </c>
      <c r="E10" t="s">
        <v>31</v>
      </c>
    </row>
    <row r="11" spans="1:5" x14ac:dyDescent="0.25">
      <c r="A11" s="3" t="s">
        <v>19</v>
      </c>
      <c r="B11" s="6" t="s">
        <v>35</v>
      </c>
      <c r="C11" s="9">
        <v>698</v>
      </c>
      <c r="D11" s="6" t="s">
        <v>36</v>
      </c>
      <c r="E11" t="s">
        <v>34</v>
      </c>
    </row>
    <row r="12" spans="1:5" x14ac:dyDescent="0.25">
      <c r="A12" s="3" t="s">
        <v>19</v>
      </c>
      <c r="B12" s="6" t="s">
        <v>38</v>
      </c>
      <c r="C12" s="9">
        <v>150</v>
      </c>
      <c r="D12" s="6" t="s">
        <v>39</v>
      </c>
      <c r="E12" t="s">
        <v>37</v>
      </c>
    </row>
    <row r="13" spans="1:5" x14ac:dyDescent="0.25">
      <c r="A13" s="3" t="s">
        <v>19</v>
      </c>
      <c r="B13" s="6" t="s">
        <v>41</v>
      </c>
      <c r="C13" s="9">
        <v>70</v>
      </c>
      <c r="D13" s="6" t="s">
        <v>45</v>
      </c>
      <c r="E13" t="s">
        <v>40</v>
      </c>
    </row>
    <row r="14" spans="1:5" x14ac:dyDescent="0.25">
      <c r="A14" s="3" t="s">
        <v>19</v>
      </c>
      <c r="B14" s="6" t="s">
        <v>43</v>
      </c>
      <c r="C14" s="9">
        <v>199</v>
      </c>
      <c r="D14" s="6" t="s">
        <v>44</v>
      </c>
      <c r="E14" t="s">
        <v>42</v>
      </c>
    </row>
    <row r="15" spans="1:5" x14ac:dyDescent="0.2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5"/>
  <sheetViews>
    <sheetView workbookViewId="0">
      <selection activeCell="C8" sqref="C8"/>
    </sheetView>
  </sheetViews>
  <sheetFormatPr defaultRowHeight="15" x14ac:dyDescent="0.25"/>
  <cols>
    <col min="2" max="2" width="47.140625" bestFit="1" customWidth="1"/>
    <col min="3" max="3" width="60" customWidth="1"/>
  </cols>
  <sheetData>
    <row r="1" spans="2:3" x14ac:dyDescent="0.25">
      <c r="B1" t="s">
        <v>1</v>
      </c>
      <c r="C1" t="s">
        <v>2</v>
      </c>
    </row>
    <row r="2" spans="2:3" x14ac:dyDescent="0.25">
      <c r="B2" t="s">
        <v>0</v>
      </c>
      <c r="C2" t="s">
        <v>3</v>
      </c>
    </row>
    <row r="3" spans="2:3" x14ac:dyDescent="0.25">
      <c r="B3" t="s">
        <v>4</v>
      </c>
    </row>
    <row r="4" spans="2:3" x14ac:dyDescent="0.25">
      <c r="B4" t="s">
        <v>5</v>
      </c>
      <c r="C4" t="s">
        <v>6</v>
      </c>
    </row>
    <row r="5" spans="2:3" x14ac:dyDescent="0.2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928E-CD8B-48FE-81C7-BD5BCA91012F}">
  <dimension ref="A1:F3"/>
  <sheetViews>
    <sheetView workbookViewId="0">
      <selection activeCell="B4" sqref="B4"/>
    </sheetView>
  </sheetViews>
  <sheetFormatPr defaultRowHeight="15" x14ac:dyDescent="0.25"/>
  <cols>
    <col min="2" max="2" width="52.140625" customWidth="1"/>
    <col min="3" max="3" width="15" style="78" customWidth="1"/>
    <col min="4" max="4" width="15" customWidth="1"/>
    <col min="5" max="5" width="20.5703125" customWidth="1"/>
    <col min="6" max="6" width="11.140625" customWidth="1"/>
  </cols>
  <sheetData>
    <row r="1" spans="1:6" x14ac:dyDescent="0.25">
      <c r="A1" t="s">
        <v>430</v>
      </c>
    </row>
    <row r="2" spans="1:6" x14ac:dyDescent="0.25">
      <c r="B2" s="79" t="s">
        <v>431</v>
      </c>
      <c r="C2" s="80" t="s">
        <v>432</v>
      </c>
      <c r="D2" s="79" t="s">
        <v>435</v>
      </c>
      <c r="E2" s="79" t="s">
        <v>433</v>
      </c>
      <c r="F2" s="79" t="s">
        <v>434</v>
      </c>
    </row>
    <row r="3" spans="1:6" x14ac:dyDescent="0.2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CE15C-17C9-4046-BA60-1FA5E56A83BA}">
  <dimension ref="A1:K23"/>
  <sheetViews>
    <sheetView topLeftCell="A4" workbookViewId="0">
      <selection activeCell="A22" sqref="A22"/>
    </sheetView>
  </sheetViews>
  <sheetFormatPr defaultRowHeight="15" x14ac:dyDescent="0.25"/>
  <cols>
    <col min="3" max="3" width="20" bestFit="1" customWidth="1"/>
    <col min="4" max="4" width="24.7109375" bestFit="1" customWidth="1"/>
    <col min="6" max="6" width="12.85546875" bestFit="1" customWidth="1"/>
    <col min="8" max="8" width="9.5703125" bestFit="1" customWidth="1"/>
  </cols>
  <sheetData>
    <row r="1" spans="1:11" x14ac:dyDescent="0.25">
      <c r="A1" t="s">
        <v>344</v>
      </c>
    </row>
    <row r="4" spans="1:11" x14ac:dyDescent="0.25">
      <c r="B4" t="s">
        <v>348</v>
      </c>
    </row>
    <row r="5" spans="1:11" x14ac:dyDescent="0.25">
      <c r="B5" s="60" t="s">
        <v>341</v>
      </c>
      <c r="C5" s="60" t="s">
        <v>343</v>
      </c>
      <c r="D5" s="60" t="s">
        <v>353</v>
      </c>
      <c r="E5" s="60" t="s">
        <v>352</v>
      </c>
      <c r="F5" s="60" t="s">
        <v>350</v>
      </c>
      <c r="H5" s="60" t="s">
        <v>347</v>
      </c>
      <c r="I5" s="60" t="s">
        <v>345</v>
      </c>
      <c r="J5" s="60" t="s">
        <v>346</v>
      </c>
      <c r="K5" s="60" t="s">
        <v>342</v>
      </c>
    </row>
    <row r="6" spans="1:11" x14ac:dyDescent="0.2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2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2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25">
      <c r="B9" s="60">
        <v>2024</v>
      </c>
      <c r="C9" s="60">
        <v>15</v>
      </c>
      <c r="D9" s="60">
        <f>E9-C9-C8-C7-C6-D8-D7-D6</f>
        <v>6.1199999999999974</v>
      </c>
      <c r="E9" s="60">
        <f t="shared" si="2"/>
        <v>68.09</v>
      </c>
      <c r="F9" s="60">
        <f t="shared" si="0"/>
        <v>68</v>
      </c>
      <c r="H9" s="60">
        <v>4</v>
      </c>
      <c r="I9" s="60">
        <v>1000</v>
      </c>
      <c r="J9" s="60">
        <v>8</v>
      </c>
      <c r="K9" s="60">
        <f t="shared" si="1"/>
        <v>1066</v>
      </c>
    </row>
    <row r="10" spans="1:11" x14ac:dyDescent="0.2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2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2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25">
      <c r="H13" s="60">
        <v>8</v>
      </c>
      <c r="I13" s="60">
        <v>1000</v>
      </c>
      <c r="J13" s="60">
        <v>4</v>
      </c>
      <c r="K13" s="60">
        <f t="shared" si="1"/>
        <v>1033</v>
      </c>
    </row>
    <row r="14" spans="1:11" x14ac:dyDescent="0.25">
      <c r="H14" s="60">
        <v>9</v>
      </c>
      <c r="I14" s="60">
        <v>1000</v>
      </c>
      <c r="J14" s="60">
        <v>3</v>
      </c>
      <c r="K14" s="60">
        <f t="shared" si="1"/>
        <v>1025</v>
      </c>
    </row>
    <row r="15" spans="1:11" x14ac:dyDescent="0.25">
      <c r="B15" t="s">
        <v>349</v>
      </c>
      <c r="H15" s="60">
        <v>10</v>
      </c>
      <c r="I15" s="60">
        <v>1000</v>
      </c>
      <c r="J15" s="60">
        <v>2</v>
      </c>
      <c r="K15" s="60">
        <f t="shared" si="1"/>
        <v>1016</v>
      </c>
    </row>
    <row r="16" spans="1:11" x14ac:dyDescent="0.25">
      <c r="B16" s="60" t="s">
        <v>341</v>
      </c>
      <c r="C16" s="60" t="s">
        <v>343</v>
      </c>
      <c r="D16" s="60" t="s">
        <v>353</v>
      </c>
      <c r="E16" s="60" t="s">
        <v>352</v>
      </c>
      <c r="F16" s="60" t="s">
        <v>350</v>
      </c>
      <c r="H16" s="60">
        <v>11</v>
      </c>
      <c r="I16" s="60">
        <v>1000</v>
      </c>
      <c r="J16" s="60">
        <v>1</v>
      </c>
      <c r="K16" s="60">
        <f t="shared" si="1"/>
        <v>1008</v>
      </c>
    </row>
    <row r="17" spans="2:11" x14ac:dyDescent="0.25">
      <c r="B17" s="60">
        <v>2021</v>
      </c>
      <c r="C17" s="60">
        <v>12</v>
      </c>
      <c r="D17" s="60">
        <f>E17-C17</f>
        <v>0.54599999999999937</v>
      </c>
      <c r="E17" s="60">
        <v>12.545999999999999</v>
      </c>
      <c r="F17" s="60">
        <f>ROUNDDOWN(E17,1)</f>
        <v>12.5</v>
      </c>
      <c r="H17" s="60">
        <v>12</v>
      </c>
      <c r="I17" s="60">
        <v>1000</v>
      </c>
      <c r="J17" s="60">
        <v>0</v>
      </c>
      <c r="K17" s="60">
        <f t="shared" si="1"/>
        <v>1000</v>
      </c>
    </row>
    <row r="18" spans="2:11" x14ac:dyDescent="0.25">
      <c r="B18" s="60">
        <v>2022</v>
      </c>
      <c r="C18" s="60">
        <v>12</v>
      </c>
      <c r="D18" s="60">
        <f>E18-C18-C17-D17</f>
        <v>1.6840000000000046</v>
      </c>
      <c r="E18" s="60">
        <f>F17*1.1+C18*1.04</f>
        <v>26.230000000000004</v>
      </c>
      <c r="F18" s="60">
        <f t="shared" ref="F18:F23" si="3">ROUNDDOWN(E18,1)</f>
        <v>26.2</v>
      </c>
      <c r="H18" s="60"/>
      <c r="I18" s="60"/>
      <c r="J18" s="60"/>
      <c r="K18" s="60"/>
    </row>
    <row r="19" spans="2:11" x14ac:dyDescent="0.2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25">
      <c r="B20" s="60">
        <v>2024</v>
      </c>
      <c r="C20" s="60">
        <v>15</v>
      </c>
      <c r="D20" s="60">
        <f>E20-C20-C19-C18-C17-D19-D18-D17</f>
        <v>5.019999999999996</v>
      </c>
      <c r="E20" s="60">
        <f t="shared" si="4"/>
        <v>64.44</v>
      </c>
      <c r="F20" s="60">
        <f t="shared" si="3"/>
        <v>64.400000000000006</v>
      </c>
    </row>
    <row r="21" spans="2:11" x14ac:dyDescent="0.25">
      <c r="B21" s="60">
        <v>2025</v>
      </c>
      <c r="C21" s="60">
        <v>18</v>
      </c>
      <c r="D21" s="60">
        <f>E21-C21-C20-C19-C18-C17-D20-D19-D18-D17</f>
        <v>7.1200000000000188</v>
      </c>
      <c r="E21" s="60">
        <f t="shared" si="4"/>
        <v>89.560000000000016</v>
      </c>
      <c r="F21" s="60">
        <f t="shared" si="3"/>
        <v>89.5</v>
      </c>
    </row>
    <row r="22" spans="2:11" x14ac:dyDescent="0.25">
      <c r="B22" s="60">
        <v>2026</v>
      </c>
      <c r="C22" s="60">
        <v>18</v>
      </c>
      <c r="D22" s="60">
        <f>E22-C22-C21-C20-C19-C18-C17-D21-D20-D19-D18-D17</f>
        <v>9.6099999999999852</v>
      </c>
      <c r="E22" s="60">
        <f t="shared" si="4"/>
        <v>117.17</v>
      </c>
      <c r="F22" s="60">
        <f t="shared" si="3"/>
        <v>117.1</v>
      </c>
    </row>
    <row r="23" spans="2:11" x14ac:dyDescent="0.2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2022-07-08T08:55:57Z</dcterms:modified>
</cp:coreProperties>
</file>