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data_TH\git_add_files\"/>
    </mc:Choice>
  </mc:AlternateContent>
  <xr:revisionPtr revIDLastSave="0" documentId="13_ncr:1_{E1D50ECC-5AB8-4D57-894E-29C4801CEAE8}" xr6:coauthVersionLast="47" xr6:coauthVersionMax="47" xr10:uidLastSave="{00000000-0000-0000-0000-000000000000}"/>
  <bookViews>
    <workbookView xWindow="-120" yWindow="-120" windowWidth="20640" windowHeight="11160" tabRatio="893" activeTab="1" xr2:uid="{00000000-000D-0000-FFFF-FFFF00000000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685" i="1" l="1"/>
  <c r="G5685" i="1"/>
  <c r="L5682" i="1" l="1"/>
  <c r="J5682" i="1"/>
  <c r="L5684" i="1"/>
  <c r="J5684" i="1"/>
  <c r="L5680" i="1"/>
  <c r="J5680" i="1"/>
  <c r="J5679" i="1"/>
  <c r="L5677" i="1"/>
  <c r="J5677" i="1"/>
  <c r="L5676" i="1"/>
  <c r="J5676" i="1"/>
  <c r="L5675" i="1"/>
  <c r="J5675" i="1"/>
  <c r="L5674" i="1"/>
  <c r="J5674" i="1"/>
  <c r="L5673" i="1"/>
  <c r="J5673" i="1"/>
  <c r="J5672" i="1"/>
  <c r="J5670" i="1"/>
  <c r="J5669" i="1"/>
  <c r="J5668" i="1"/>
  <c r="L5667" i="1"/>
  <c r="J5667" i="1"/>
  <c r="L5666" i="1"/>
  <c r="J5666" i="1"/>
  <c r="L5665" i="1"/>
  <c r="J5665" i="1"/>
  <c r="L5664" i="1"/>
  <c r="J5664" i="1"/>
  <c r="L5663" i="1"/>
  <c r="J5663" i="1"/>
  <c r="L5662" i="1"/>
  <c r="J5662" i="1"/>
  <c r="L5661" i="1"/>
  <c r="J5661" i="1"/>
  <c r="L5660" i="1"/>
  <c r="J5660" i="1"/>
  <c r="L5659" i="1"/>
  <c r="J5659" i="1"/>
  <c r="L5658" i="1"/>
  <c r="J5658" i="1"/>
  <c r="J5657" i="1"/>
  <c r="J5654" i="1"/>
  <c r="J5653" i="1"/>
  <c r="J5652" i="1"/>
  <c r="J5649" i="1"/>
  <c r="L5648" i="1"/>
  <c r="J5648" i="1"/>
  <c r="L5647" i="1"/>
  <c r="J5647" i="1"/>
  <c r="L5646" i="1"/>
  <c r="J5646" i="1"/>
  <c r="L5645" i="1"/>
  <c r="J5645" i="1"/>
  <c r="L5644" i="1"/>
  <c r="J5644" i="1"/>
  <c r="L5643" i="1"/>
  <c r="J5643" i="1"/>
  <c r="L5639" i="1"/>
  <c r="J5639" i="1"/>
  <c r="J5638" i="1"/>
  <c r="L5637" i="1"/>
  <c r="J5637" i="1"/>
  <c r="L5636" i="1"/>
  <c r="J5636" i="1"/>
  <c r="J5635" i="1"/>
  <c r="L5634" i="1"/>
  <c r="J5634" i="1"/>
  <c r="J5632" i="1"/>
  <c r="J5631" i="1"/>
  <c r="J5630" i="1"/>
  <c r="J5629" i="1"/>
  <c r="J5628" i="1"/>
  <c r="J5627" i="1"/>
  <c r="J5626" i="1"/>
  <c r="J5625" i="1"/>
  <c r="J5624" i="1"/>
  <c r="J5623" i="1"/>
  <c r="J5621" i="1"/>
  <c r="J5619" i="1"/>
  <c r="L5681" i="1"/>
  <c r="L5657" i="1"/>
  <c r="J5642" i="1"/>
  <c r="H4293" i="7"/>
  <c r="G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79" i="1"/>
  <c r="L5672" i="1"/>
  <c r="L5670" i="1"/>
  <c r="L5669" i="1"/>
  <c r="L5668" i="1"/>
  <c r="L5654" i="1"/>
  <c r="L5653" i="1"/>
  <c r="L5652" i="1"/>
  <c r="J5655" i="1"/>
  <c r="L5649" i="1"/>
  <c r="J5641" i="1"/>
  <c r="L5642" i="1"/>
  <c r="L5638" i="1"/>
  <c r="L5635" i="1"/>
  <c r="L5621" i="1"/>
  <c r="L5632" i="1"/>
  <c r="L5631" i="1"/>
  <c r="L5629" i="1"/>
  <c r="L5628" i="1"/>
  <c r="L5627" i="1"/>
  <c r="L5626" i="1"/>
  <c r="L5625" i="1"/>
  <c r="L5624" i="1"/>
  <c r="L5623" i="1"/>
  <c r="J5620" i="1"/>
  <c r="L5619" i="1"/>
  <c r="J5656" i="1"/>
  <c r="L5655" i="1"/>
  <c r="J5650" i="1"/>
  <c r="L5640" i="1"/>
  <c r="M5638" i="1"/>
  <c r="M5637" i="1"/>
  <c r="M5632" i="1"/>
  <c r="M5630" i="1"/>
  <c r="M5628" i="1"/>
  <c r="M5629" i="1"/>
  <c r="N5625" i="1"/>
  <c r="J5622" i="1"/>
  <c r="L5620" i="1"/>
  <c r="G4281" i="7"/>
  <c r="H4281" i="7"/>
  <c r="G4282" i="7"/>
  <c r="H4282" i="7"/>
  <c r="H4283" i="7"/>
  <c r="G4284" i="7"/>
  <c r="H4284" i="7"/>
  <c r="H4277" i="7"/>
  <c r="G4278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F5601" i="1" s="1"/>
  <c r="L5521" i="1"/>
  <c r="J5521" i="1"/>
  <c r="L5612" i="1"/>
  <c r="L5538" i="1"/>
  <c r="J5538" i="1"/>
  <c r="M5600" i="1"/>
  <c r="L5600" i="1"/>
  <c r="J5600" i="1"/>
  <c r="F5600" i="1" s="1"/>
  <c r="L5611" i="1"/>
  <c r="L5570" i="1"/>
  <c r="J5570" i="1"/>
  <c r="L5610" i="1"/>
  <c r="J5610" i="1"/>
  <c r="J5568" i="1"/>
  <c r="L5599" i="1"/>
  <c r="J5599" i="1"/>
  <c r="F5599" i="1" s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J5550" i="1"/>
  <c r="L5597" i="1"/>
  <c r="J5597" i="1"/>
  <c r="L5596" i="1"/>
  <c r="J5596" i="1"/>
  <c r="F5596" i="1" s="1"/>
  <c r="L5497" i="1"/>
  <c r="J5497" i="1"/>
  <c r="L5592" i="1"/>
  <c r="J5592" i="1"/>
  <c r="F5592" i="1" s="1"/>
  <c r="L5586" i="1"/>
  <c r="J5586" i="1"/>
  <c r="L5585" i="1"/>
  <c r="J5585" i="1"/>
  <c r="M5590" i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G5596" i="1"/>
  <c r="F5597" i="1"/>
  <c r="G5597" i="1"/>
  <c r="F5598" i="1"/>
  <c r="F5591" i="1"/>
  <c r="G5591" i="1"/>
  <c r="G5601" i="1"/>
  <c r="F5602" i="1"/>
  <c r="G5602" i="1"/>
  <c r="G5592" i="1"/>
  <c r="G5599" i="1"/>
  <c r="G5600" i="1"/>
  <c r="F5605" i="1"/>
  <c r="G5605" i="1"/>
  <c r="G5607" i="1"/>
  <c r="F5568" i="1"/>
  <c r="G5568" i="1"/>
  <c r="G5590" i="1"/>
  <c r="F5603" i="1"/>
  <c r="G5603" i="1"/>
  <c r="G5604" i="1"/>
  <c r="F5606" i="1"/>
  <c r="G5606" i="1"/>
  <c r="L5518" i="1"/>
  <c r="L5558" i="1"/>
  <c r="L5583" i="1"/>
  <c r="L5557" i="1"/>
  <c r="F5557" i="1" s="1"/>
  <c r="G4049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F5556" i="1" s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G5542" i="1" s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F5473" i="1" s="1"/>
  <c r="G3776" i="7" s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G5473" i="1"/>
  <c r="F5550" i="1"/>
  <c r="F5584" i="1"/>
  <c r="G5584" i="1"/>
  <c r="G5595" i="1"/>
  <c r="L5569" i="1"/>
  <c r="H3858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F5554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F5509" i="1" s="1"/>
  <c r="L5508" i="1"/>
  <c r="L5502" i="1"/>
  <c r="J5502" i="1"/>
  <c r="L5467" i="1"/>
  <c r="F5467" i="1" s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F5456" i="1" s="1"/>
  <c r="J5436" i="1"/>
  <c r="J5405" i="1"/>
  <c r="J5438" i="1"/>
  <c r="H3575" i="7"/>
  <c r="H4170" i="7"/>
  <c r="H4169" i="7"/>
  <c r="L5512" i="1"/>
  <c r="L5507" i="1"/>
  <c r="J5493" i="1"/>
  <c r="J5508" i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F5493" i="1" s="1"/>
  <c r="G3797" i="7" s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F5480" i="1" s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F5415" i="1" s="1"/>
  <c r="G1380" i="7" s="1"/>
  <c r="J5387" i="1"/>
  <c r="F5387" i="1" s="1"/>
  <c r="G3811" i="7" s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G5413" i="1"/>
  <c r="F5503" i="1"/>
  <c r="G5503" i="1"/>
  <c r="F5504" i="1"/>
  <c r="G5456" i="1"/>
  <c r="F5460" i="1"/>
  <c r="G5460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F5411" i="1" s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G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G5407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G5479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477" i="1" l="1"/>
  <c r="F5077" i="1"/>
  <c r="G1358" i="7" s="1"/>
  <c r="F5604" i="1"/>
  <c r="F5607" i="1"/>
  <c r="F5413" i="1"/>
  <c r="G3766" i="7" s="1"/>
  <c r="G5504" i="1"/>
  <c r="F5508" i="1"/>
  <c r="F5464" i="1"/>
  <c r="F5590" i="1"/>
  <c r="F5407" i="1"/>
  <c r="F5410" i="1"/>
  <c r="F5558" i="1"/>
  <c r="F5280" i="1"/>
  <c r="G1357" i="7" s="1"/>
  <c r="F5595" i="1"/>
  <c r="G4107" i="7" s="1"/>
  <c r="F5481" i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G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4089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048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8" i="7"/>
  <c r="K4279" i="7"/>
  <c r="K4280" i="7"/>
  <c r="K4281" i="7"/>
  <c r="K4282" i="7"/>
  <c r="K4284" i="7"/>
  <c r="K4285" i="7"/>
  <c r="K4286" i="7"/>
  <c r="K4287" i="7"/>
  <c r="K4288" i="7"/>
  <c r="K4289" i="7"/>
  <c r="K4290" i="7"/>
  <c r="K4291" i="7"/>
  <c r="K4292" i="7"/>
  <c r="K4293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G4018" i="7" s="1"/>
  <c r="F5612" i="1"/>
  <c r="F5613" i="1"/>
  <c r="F5614" i="1"/>
  <c r="F5615" i="1"/>
  <c r="F5616" i="1"/>
  <c r="F5617" i="1"/>
  <c r="F5618" i="1"/>
  <c r="F5651" i="1"/>
  <c r="F5671" i="1"/>
  <c r="F5678" i="1"/>
  <c r="F5634" i="1"/>
  <c r="G4276" i="7" s="1"/>
  <c r="F5641" i="1"/>
  <c r="F5681" i="1"/>
  <c r="F5654" i="1"/>
  <c r="F5659" i="1"/>
  <c r="G4106" i="7" s="1"/>
  <c r="F5619" i="1"/>
  <c r="F5627" i="1"/>
  <c r="F5633" i="1"/>
  <c r="F5640" i="1"/>
  <c r="F5652" i="1"/>
  <c r="F5655" i="1"/>
  <c r="F5663" i="1"/>
  <c r="F5637" i="1"/>
  <c r="G3983" i="7" s="1"/>
  <c r="F5656" i="1"/>
  <c r="F5665" i="1"/>
  <c r="F5667" i="1"/>
  <c r="F5672" i="1"/>
  <c r="F5675" i="1"/>
  <c r="F5680" i="1"/>
  <c r="F5682" i="1"/>
  <c r="F5623" i="1"/>
  <c r="F5622" i="1"/>
  <c r="F5626" i="1"/>
  <c r="G4277" i="7" s="1"/>
  <c r="F5630" i="1"/>
  <c r="F5631" i="1"/>
  <c r="G4283" i="7" s="1"/>
  <c r="F5642" i="1"/>
  <c r="F5628" i="1"/>
  <c r="F5629" i="1"/>
  <c r="F5632" i="1"/>
  <c r="F5635" i="1"/>
  <c r="F5636" i="1"/>
  <c r="F5638" i="1"/>
  <c r="F5646" i="1"/>
  <c r="G4264" i="7" s="1"/>
  <c r="F5649" i="1"/>
  <c r="F5657" i="1"/>
  <c r="G4261" i="7" s="1"/>
  <c r="F5650" i="1"/>
  <c r="G4259" i="7" s="1"/>
  <c r="F5673" i="1"/>
  <c r="F5674" i="1"/>
  <c r="G4268" i="7" s="1"/>
  <c r="F5676" i="1"/>
  <c r="G4263" i="7" s="1"/>
  <c r="F5677" i="1"/>
  <c r="F5679" i="1"/>
  <c r="F5620" i="1"/>
  <c r="F5625" i="1"/>
  <c r="F5647" i="1"/>
  <c r="F5648" i="1"/>
  <c r="F5653" i="1"/>
  <c r="F5660" i="1"/>
  <c r="F5662" i="1"/>
  <c r="F5666" i="1"/>
  <c r="F5668" i="1"/>
  <c r="F5669" i="1"/>
  <c r="F5670" i="1"/>
  <c r="F5624" i="1"/>
  <c r="F5658" i="1"/>
  <c r="G4258" i="7" s="1"/>
  <c r="F5664" i="1"/>
  <c r="G4103" i="7" s="1"/>
  <c r="F5621" i="1"/>
  <c r="G4244" i="7" s="1"/>
  <c r="F5644" i="1"/>
  <c r="G4239" i="7" s="1"/>
  <c r="F5645" i="1"/>
  <c r="G4238" i="7" s="1"/>
  <c r="F5661" i="1"/>
  <c r="F5643" i="1"/>
  <c r="G4012" i="7" s="1"/>
  <c r="F5683" i="1"/>
  <c r="F5684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K4018" i="7" s="1"/>
  <c r="G5612" i="1"/>
  <c r="G5613" i="1"/>
  <c r="G5614" i="1"/>
  <c r="G5615" i="1"/>
  <c r="G5616" i="1"/>
  <c r="G5617" i="1"/>
  <c r="G5618" i="1"/>
  <c r="G5651" i="1"/>
  <c r="G5671" i="1"/>
  <c r="G5678" i="1"/>
  <c r="G5634" i="1"/>
  <c r="K4276" i="7" s="1"/>
  <c r="G5641" i="1"/>
  <c r="G5681" i="1"/>
  <c r="G5654" i="1"/>
  <c r="G5659" i="1"/>
  <c r="K4106" i="7" s="1"/>
  <c r="G5619" i="1"/>
  <c r="G5627" i="1"/>
  <c r="G5633" i="1"/>
  <c r="G5640" i="1"/>
  <c r="G5652" i="1"/>
  <c r="G5655" i="1"/>
  <c r="G5663" i="1"/>
  <c r="G5637" i="1"/>
  <c r="K3983" i="7" s="1"/>
  <c r="G5656" i="1"/>
  <c r="G5665" i="1"/>
  <c r="G5667" i="1"/>
  <c r="G5672" i="1"/>
  <c r="G5675" i="1"/>
  <c r="G5680" i="1"/>
  <c r="G5682" i="1"/>
  <c r="G5623" i="1"/>
  <c r="G5622" i="1"/>
  <c r="G5626" i="1"/>
  <c r="K4277" i="7" s="1"/>
  <c r="G5630" i="1"/>
  <c r="G5631" i="1"/>
  <c r="K4283" i="7" s="1"/>
  <c r="G5642" i="1"/>
  <c r="G5628" i="1"/>
  <c r="G5629" i="1"/>
  <c r="G5632" i="1"/>
  <c r="G5635" i="1"/>
  <c r="G5636" i="1"/>
  <c r="G5638" i="1"/>
  <c r="G5646" i="1"/>
  <c r="K4264" i="7" s="1"/>
  <c r="G5649" i="1"/>
  <c r="G5657" i="1"/>
  <c r="K4261" i="7" s="1"/>
  <c r="G5650" i="1"/>
  <c r="K4259" i="7" s="1"/>
  <c r="G5673" i="1"/>
  <c r="G5674" i="1"/>
  <c r="K4268" i="7" s="1"/>
  <c r="G5676" i="1"/>
  <c r="K4263" i="7" s="1"/>
  <c r="G5677" i="1"/>
  <c r="G5679" i="1"/>
  <c r="G5620" i="1"/>
  <c r="G5625" i="1"/>
  <c r="G5647" i="1"/>
  <c r="G5648" i="1"/>
  <c r="G5653" i="1"/>
  <c r="G5660" i="1"/>
  <c r="G5662" i="1"/>
  <c r="G5666" i="1"/>
  <c r="G5668" i="1"/>
  <c r="G5669" i="1"/>
  <c r="G5670" i="1"/>
  <c r="G5624" i="1"/>
  <c r="G5658" i="1"/>
  <c r="K4258" i="7" s="1"/>
  <c r="G5664" i="1"/>
  <c r="K4103" i="7" s="1"/>
  <c r="G5621" i="1"/>
  <c r="K4244" i="7" s="1"/>
  <c r="G5644" i="1"/>
  <c r="K4239" i="7" s="1"/>
  <c r="G5645" i="1"/>
  <c r="K4238" i="7" s="1"/>
  <c r="G5661" i="1"/>
  <c r="G5643" i="1"/>
  <c r="K4012" i="7" s="1"/>
  <c r="G5683" i="1"/>
  <c r="G5684" i="1"/>
  <c r="K4294" i="7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266" i="7" l="1"/>
  <c r="K4273" i="7"/>
  <c r="G3575" i="7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4173" i="7" s="1"/>
  <c r="G5252" i="1"/>
  <c r="F5250" i="1"/>
  <c r="G4187" i="7" s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074" i="7" l="1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F3895" i="1" s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263" i="1"/>
  <c r="F4129" i="1"/>
  <c r="F4960" i="1"/>
  <c r="F5257" i="1"/>
  <c r="G4124" i="7" s="1"/>
  <c r="F4992" i="1"/>
  <c r="F3896" i="1"/>
  <c r="F3903" i="1"/>
  <c r="F4039" i="1"/>
  <c r="F4985" i="1"/>
  <c r="F4459" i="1"/>
  <c r="F5021" i="1"/>
  <c r="F4962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33" i="1" l="1"/>
  <c r="F3977" i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F3182" i="1" s="1"/>
  <c r="J3165" i="1"/>
  <c r="L3235" i="1"/>
  <c r="J3235" i="1"/>
  <c r="F3291" i="1" l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52" i="1" l="1"/>
  <c r="F1636" i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F1401" i="1" s="1"/>
  <c r="M1398" i="1"/>
  <c r="J1397" i="1"/>
  <c r="J1393" i="1"/>
  <c r="L1389" i="1"/>
  <c r="J1389" i="1"/>
  <c r="L1382" i="1"/>
  <c r="F1382" i="1" s="1"/>
  <c r="L1393" i="1"/>
  <c r="F1426" i="1" l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K516" i="7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K1004" i="7" s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K1999" i="7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K2560" i="7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K1183" i="7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K1478" i="7" s="1"/>
  <c r="P944" i="1"/>
  <c r="O944" i="1"/>
  <c r="M944" i="1"/>
  <c r="L944" i="1"/>
  <c r="J944" i="1"/>
  <c r="M1279" i="1"/>
  <c r="L1279" i="1"/>
  <c r="K1279" i="1"/>
  <c r="J1279" i="1"/>
  <c r="G1279" i="1"/>
  <c r="K564" i="7" s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K779" i="7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K2144" i="7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1745" i="7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K1822" i="7" s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K1302" i="7" s="1"/>
  <c r="J338" i="1"/>
  <c r="K337" i="1"/>
  <c r="J337" i="1"/>
  <c r="G337" i="1"/>
  <c r="K1299" i="7" s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K902" i="7" s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K3292" i="7" s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K3446" i="7" s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3441" i="7" s="1"/>
  <c r="K228" i="1"/>
  <c r="J228" i="1"/>
  <c r="M227" i="1"/>
  <c r="G227" i="1" s="1"/>
  <c r="K3443" i="7" s="1"/>
  <c r="J227" i="1"/>
  <c r="F227" i="1" s="1"/>
  <c r="G3443" i="7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K718" i="7" s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725" i="7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K3420" i="7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K1268" i="7" s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3436" i="7" s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797" i="7" s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K759" i="7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K1406" i="7" s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K1390" i="7" s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415" i="7" s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H1478" i="7"/>
  <c r="K3289" i="7"/>
  <c r="H3289" i="7"/>
  <c r="H3288" i="7"/>
  <c r="H28" i="7"/>
  <c r="H27" i="7"/>
  <c r="H1816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H779" i="7"/>
  <c r="H733" i="7"/>
  <c r="K1565" i="7"/>
  <c r="H1565" i="7"/>
  <c r="H1757" i="7"/>
  <c r="K1746" i="7"/>
  <c r="H1746" i="7"/>
  <c r="G1746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H3442" i="7"/>
  <c r="H3441" i="7"/>
  <c r="H3440" i="7"/>
  <c r="H3421" i="7"/>
  <c r="H856" i="7"/>
  <c r="H855" i="7"/>
  <c r="H639" i="7"/>
  <c r="H109" i="7"/>
  <c r="F109" i="7"/>
  <c r="H108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H1302" i="7"/>
  <c r="H1301" i="7"/>
  <c r="K1300" i="7"/>
  <c r="H1300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H1406" i="7"/>
  <c r="H1405" i="7"/>
  <c r="K1404" i="7"/>
  <c r="H1404" i="7"/>
  <c r="H1403" i="7"/>
  <c r="H1390" i="7"/>
  <c r="H1389" i="7"/>
  <c r="H1388" i="7"/>
  <c r="K1387" i="7"/>
  <c r="H1387" i="7"/>
  <c r="G1387" i="7"/>
  <c r="H1418" i="7"/>
  <c r="H1417" i="7"/>
  <c r="K1416" i="7"/>
  <c r="H1416" i="7"/>
  <c r="G1416" i="7"/>
  <c r="H1415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H797" i="7"/>
  <c r="H796" i="7"/>
  <c r="H791" i="7"/>
  <c r="H790" i="7"/>
  <c r="H789" i="7"/>
  <c r="H788" i="7"/>
  <c r="K787" i="7"/>
  <c r="H787" i="7"/>
  <c r="H762" i="7"/>
  <c r="H761" i="7"/>
  <c r="H760" i="7"/>
  <c r="H759" i="7"/>
  <c r="K1910" i="7"/>
  <c r="H1910" i="7"/>
  <c r="G1910" i="7"/>
  <c r="H1909" i="7"/>
  <c r="H1908" i="7"/>
  <c r="H2001" i="7"/>
  <c r="H722" i="7"/>
  <c r="K721" i="7"/>
  <c r="H721" i="7"/>
  <c r="H726" i="7"/>
  <c r="H725" i="7"/>
  <c r="H724" i="7"/>
  <c r="H723" i="7"/>
  <c r="K2000" i="7"/>
  <c r="H2000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K3193" i="7" l="1"/>
  <c r="G3084" i="7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00000000-0006-0000-0A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00000000-0006-0000-0A00-000007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00000000-0006-0000-0A00-000008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00000000-0006-0000-0A00-000009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00000000-0006-0000-0A00-00000A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00000000-0006-0000-0A00-00000B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00000000-0006-0000-0B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00000000-0006-0000-0B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00000000-0006-0000-0B00-00000C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00000000-0006-0000-0B00-00000D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00000000-0006-0000-0B00-00000E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00000000-0006-0000-0B00-00000F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00000000-0006-0000-0B00-000010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0000000-0006-0000-0B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00000000-0006-0000-0C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00000000-0006-0000-0C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00000000-0006-0000-0C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<sst xmlns="http://schemas.openxmlformats.org/spreadsheetml/2006/main" count="38813" uniqueCount="2757">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</sst>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6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18" fillId="0" borderId="0"/>
  </cellStyleXfs>
  <cellXfs count="352">
    <xf numFmtId="0" fontId="0" fillId="0" borderId="0" xfId="0"/>
    <xf numFmtId="0" fontId="11" fillId="2" borderId="1" xfId="0" applyFont="1" applyFill="1" applyBorder="1"/>
    <xf numFmtId="0" fontId="11" fillId="2" borderId="2" xfId="0" applyFont="1" applyFill="1" applyBorder="1"/>
    <xf numFmtId="164" fontId="11" fillId="2" borderId="2" xfId="0" applyNumberFormat="1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5" fontId="11" fillId="2" borderId="2" xfId="0" applyNumberFormat="1" applyFont="1" applyFill="1" applyBorder="1"/>
    <xf numFmtId="0" fontId="11" fillId="3" borderId="2" xfId="0" applyFont="1" applyFill="1" applyBorder="1"/>
    <xf numFmtId="0" fontId="11" fillId="4" borderId="2" xfId="0" applyFont="1" applyFill="1" applyBorder="1"/>
    <xf numFmtId="0" fontId="11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1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4" fillId="0" borderId="8" xfId="0" applyNumberFormat="1" applyFont="1" applyBorder="1"/>
    <xf numFmtId="0" fontId="14" fillId="5" borderId="7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4" fillId="0" borderId="0" xfId="0" applyFont="1"/>
    <xf numFmtId="0" fontId="0" fillId="5" borderId="0" xfId="0" applyFill="1"/>
    <xf numFmtId="0" fontId="14" fillId="0" borderId="4" xfId="0" applyFont="1" applyBorder="1"/>
    <xf numFmtId="0" fontId="14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1" fillId="3" borderId="4" xfId="0" applyFont="1" applyFill="1" applyBorder="1"/>
    <xf numFmtId="0" fontId="11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1" fillId="4" borderId="5" xfId="0" applyFont="1" applyFill="1" applyBorder="1"/>
    <xf numFmtId="0" fontId="11" fillId="4" borderId="4" xfId="0" applyFont="1" applyFill="1" applyBorder="1"/>
    <xf numFmtId="0" fontId="11" fillId="4" borderId="4" xfId="0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11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1" fillId="2" borderId="4" xfId="0" applyFont="1" applyFill="1" applyBorder="1"/>
    <xf numFmtId="165" fontId="0" fillId="0" borderId="0" xfId="0" applyNumberFormat="1"/>
    <xf numFmtId="0" fontId="12" fillId="0" borderId="0" xfId="1"/>
    <xf numFmtId="2" fontId="0" fillId="0" borderId="0" xfId="0" applyNumberFormat="1" applyAlignment="1">
      <alignment horizontal="center"/>
    </xf>
    <xf numFmtId="0" fontId="13" fillId="0" borderId="0" xfId="0" applyFont="1" applyAlignment="1">
      <alignment horizontal="center"/>
    </xf>
    <xf numFmtId="0" fontId="17" fillId="8" borderId="4" xfId="0" applyFont="1" applyFill="1" applyBorder="1"/>
    <xf numFmtId="0" fontId="17" fillId="8" borderId="4" xfId="0" applyFont="1" applyFill="1" applyBorder="1" applyAlignment="1">
      <alignment horizontal="center"/>
    </xf>
    <xf numFmtId="16" fontId="0" fillId="0" borderId="0" xfId="0" applyNumberFormat="1"/>
    <xf numFmtId="0" fontId="11" fillId="2" borderId="19" xfId="0" applyFont="1" applyFill="1" applyBorder="1"/>
    <xf numFmtId="0" fontId="11" fillId="2" borderId="20" xfId="0" applyFont="1" applyFill="1" applyBorder="1"/>
    <xf numFmtId="0" fontId="11" fillId="2" borderId="0" xfId="0" applyFont="1" applyFill="1" applyBorder="1"/>
    <xf numFmtId="164" fontId="11" fillId="2" borderId="0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165" fontId="11" fillId="2" borderId="0" xfId="0" applyNumberFormat="1" applyFont="1" applyFill="1" applyBorder="1"/>
    <xf numFmtId="0" fontId="11" fillId="3" borderId="0" xfId="0" applyFont="1" applyFill="1" applyBorder="1"/>
    <xf numFmtId="0" fontId="11" fillId="4" borderId="0" xfId="0" applyFont="1" applyFill="1" applyBorder="1"/>
    <xf numFmtId="0" fontId="18" fillId="0" borderId="13" xfId="2" applyBorder="1" applyAlignment="1">
      <alignment vertical="center"/>
    </xf>
    <xf numFmtId="0" fontId="18" fillId="0" borderId="17" xfId="2" applyBorder="1" applyAlignment="1">
      <alignment vertical="center"/>
    </xf>
    <xf numFmtId="0" fontId="18" fillId="0" borderId="11" xfId="2" applyBorder="1" applyAlignment="1">
      <alignment vertical="center"/>
    </xf>
    <xf numFmtId="14" fontId="18" fillId="0" borderId="11" xfId="2" applyNumberFormat="1" applyBorder="1" applyAlignment="1">
      <alignment horizontal="left" vertical="center"/>
    </xf>
    <xf numFmtId="0" fontId="18" fillId="0" borderId="11" xfId="2" applyBorder="1" applyAlignment="1">
      <alignment horizontal="center"/>
    </xf>
    <xf numFmtId="0" fontId="18" fillId="0" borderId="8" xfId="2" applyBorder="1" applyAlignment="1">
      <alignment horizontal="center"/>
    </xf>
    <xf numFmtId="2" fontId="18" fillId="0" borderId="11" xfId="2" applyNumberFormat="1" applyBorder="1" applyAlignment="1">
      <alignment vertical="center"/>
    </xf>
    <xf numFmtId="0" fontId="13" fillId="0" borderId="11" xfId="2" applyFont="1" applyBorder="1" applyAlignment="1">
      <alignment vertical="center"/>
    </xf>
    <xf numFmtId="165" fontId="18" fillId="0" borderId="11" xfId="2" applyNumberFormat="1" applyBorder="1" applyAlignment="1">
      <alignment horizontal="left" vertical="center"/>
    </xf>
    <xf numFmtId="165" fontId="18" fillId="0" borderId="4" xfId="2" applyNumberFormat="1" applyFill="1" applyBorder="1"/>
    <xf numFmtId="0" fontId="18" fillId="0" borderId="4" xfId="2" applyFill="1" applyBorder="1" applyAlignment="1">
      <alignment horizontal="center"/>
    </xf>
    <xf numFmtId="0" fontId="18" fillId="0" borderId="4" xfId="2" applyNumberFormat="1" applyFill="1" applyBorder="1" applyAlignment="1">
      <alignment horizontal="center"/>
    </xf>
    <xf numFmtId="2" fontId="18" fillId="0" borderId="4" xfId="2" applyNumberFormat="1" applyFill="1" applyBorder="1" applyAlignment="1">
      <alignment horizontal="center"/>
    </xf>
    <xf numFmtId="0" fontId="18" fillId="0" borderId="5" xfId="2" applyNumberFormat="1" applyFill="1" applyBorder="1" applyAlignment="1">
      <alignment horizontal="center"/>
    </xf>
    <xf numFmtId="0" fontId="18" fillId="0" borderId="18" xfId="2" applyFill="1" applyBorder="1"/>
    <xf numFmtId="0" fontId="18" fillId="0" borderId="8" xfId="2" applyFill="1" applyBorder="1"/>
    <xf numFmtId="0" fontId="18" fillId="0" borderId="8" xfId="2" applyNumberFormat="1" applyFill="1" applyBorder="1" applyAlignment="1">
      <alignment horizontal="center"/>
    </xf>
    <xf numFmtId="2" fontId="18" fillId="0" borderId="8" xfId="2" applyNumberFormat="1" applyFill="1" applyBorder="1" applyAlignment="1">
      <alignment horizontal="center"/>
    </xf>
    <xf numFmtId="0" fontId="18" fillId="0" borderId="9" xfId="2" applyNumberFormat="1" applyFill="1" applyBorder="1" applyAlignment="1">
      <alignment horizontal="center"/>
    </xf>
    <xf numFmtId="0" fontId="18" fillId="0" borderId="4" xfId="2" applyBorder="1"/>
    <xf numFmtId="0" fontId="18" fillId="0" borderId="8" xfId="2" applyBorder="1"/>
    <xf numFmtId="0" fontId="18" fillId="0" borderId="4" xfId="2" applyBorder="1" applyAlignment="1">
      <alignment horizontal="center"/>
    </xf>
    <xf numFmtId="165" fontId="18" fillId="0" borderId="4" xfId="2" applyNumberFormat="1" applyBorder="1"/>
    <xf numFmtId="14" fontId="18" fillId="0" borderId="4" xfId="2" applyNumberFormat="1" applyBorder="1"/>
    <xf numFmtId="0" fontId="18" fillId="0" borderId="4" xfId="2" applyNumberFormat="1" applyBorder="1" applyAlignment="1">
      <alignment horizontal="center"/>
    </xf>
    <xf numFmtId="0" fontId="13" fillId="0" borderId="4" xfId="2" applyNumberFormat="1" applyFont="1" applyBorder="1" applyAlignment="1">
      <alignment horizontal="center"/>
    </xf>
    <xf numFmtId="1" fontId="0" fillId="0" borderId="0" xfId="0" applyNumberFormat="1"/>
    <xf numFmtId="1" fontId="18" fillId="0" borderId="11" xfId="2" applyNumberFormat="1" applyBorder="1" applyAlignment="1">
      <alignment vertical="center"/>
    </xf>
    <xf numFmtId="1" fontId="18" fillId="0" borderId="4" xfId="2" applyNumberFormat="1" applyFill="1" applyBorder="1" applyAlignment="1">
      <alignment horizontal="center"/>
    </xf>
    <xf numFmtId="1" fontId="18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4" fillId="0" borderId="9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20" fillId="0" borderId="10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1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4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4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4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/>
    <xf numFmtId="0" fontId="25" fillId="0" borderId="22" xfId="0" applyFont="1" applyBorder="1"/>
    <xf numFmtId="0" fontId="25" fillId="0" borderId="0" xfId="0" applyFont="1"/>
    <xf numFmtId="0" fontId="26" fillId="0" borderId="23" xfId="0" applyFont="1" applyBorder="1"/>
    <xf numFmtId="0" fontId="0" fillId="0" borderId="22" xfId="0" applyBorder="1"/>
    <xf numFmtId="0" fontId="11" fillId="10" borderId="4" xfId="0" applyFont="1" applyFill="1" applyBorder="1"/>
    <xf numFmtId="0" fontId="11" fillId="10" borderId="5" xfId="0" applyFont="1" applyFill="1" applyBorder="1"/>
    <xf numFmtId="0" fontId="11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2" fillId="0" borderId="0" xfId="1" applyAlignment="1">
      <alignment horizontal="left"/>
    </xf>
    <xf numFmtId="0" fontId="12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5" fillId="0" borderId="23" xfId="0" applyFont="1" applyBorder="1" applyAlignment="1">
      <alignment horizontal="center"/>
    </xf>
    <xf numFmtId="0" fontId="25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10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8" fillId="0" borderId="4" xfId="0" applyFont="1" applyBorder="1"/>
    <xf numFmtId="0" fontId="27" fillId="0" borderId="4" xfId="0" applyFont="1" applyBorder="1"/>
    <xf numFmtId="0" fontId="9" fillId="0" borderId="4" xfId="2" applyFont="1" applyFill="1" applyBorder="1"/>
    <xf numFmtId="0" fontId="9" fillId="0" borderId="18" xfId="2" applyFont="1" applyFill="1" applyBorder="1"/>
    <xf numFmtId="0" fontId="9" fillId="0" borderId="7" xfId="2" applyFont="1" applyFill="1" applyBorder="1"/>
    <xf numFmtId="0" fontId="9" fillId="0" borderId="4" xfId="2" applyNumberFormat="1" applyFont="1" applyBorder="1" applyAlignment="1"/>
    <xf numFmtId="0" fontId="9" fillId="0" borderId="4" xfId="2" applyFont="1" applyBorder="1"/>
    <xf numFmtId="14" fontId="18" fillId="0" borderId="4" xfId="2" applyNumberFormat="1" applyFill="1" applyBorder="1"/>
    <xf numFmtId="166" fontId="0" fillId="0" borderId="0" xfId="0" applyNumberFormat="1"/>
    <xf numFmtId="0" fontId="29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1" fillId="2" borderId="28" xfId="2" applyNumberFormat="1" applyFont="1" applyFill="1" applyBorder="1" applyAlignment="1">
      <alignment vertical="center"/>
    </xf>
    <xf numFmtId="165" fontId="11" fillId="2" borderId="28" xfId="2" applyNumberFormat="1" applyFont="1" applyFill="1" applyBorder="1" applyAlignment="1">
      <alignment horizontal="left" vertical="center"/>
    </xf>
    <xf numFmtId="14" fontId="11" fillId="2" borderId="28" xfId="2" applyNumberFormat="1" applyFont="1" applyFill="1" applyBorder="1" applyAlignment="1">
      <alignment horizontal="left" vertical="center"/>
    </xf>
    <xf numFmtId="0" fontId="11" fillId="2" borderId="28" xfId="2" applyNumberFormat="1" applyFont="1" applyFill="1" applyBorder="1" applyAlignment="1">
      <alignment horizontal="center"/>
    </xf>
    <xf numFmtId="2" fontId="11" fillId="2" borderId="28" xfId="2" applyNumberFormat="1" applyFont="1" applyFill="1" applyBorder="1" applyAlignment="1">
      <alignment vertical="center"/>
    </xf>
    <xf numFmtId="1" fontId="11" fillId="2" borderId="28" xfId="2" applyNumberFormat="1" applyFont="1" applyFill="1" applyBorder="1" applyAlignment="1">
      <alignment vertical="center"/>
    </xf>
    <xf numFmtId="0" fontId="13" fillId="2" borderId="28" xfId="2" applyNumberFormat="1" applyFont="1" applyFill="1" applyBorder="1" applyAlignment="1">
      <alignment vertical="center"/>
    </xf>
    <xf numFmtId="165" fontId="9" fillId="0" borderId="4" xfId="2" applyNumberFormat="1" applyFont="1" applyBorder="1" applyAlignment="1"/>
    <xf numFmtId="0" fontId="9" fillId="0" borderId="4" xfId="2" applyNumberFormat="1" applyFont="1" applyBorder="1" applyAlignment="1">
      <alignment horizontal="center"/>
    </xf>
    <xf numFmtId="2" fontId="9" fillId="0" borderId="4" xfId="2" applyNumberFormat="1" applyFont="1" applyBorder="1" applyAlignment="1">
      <alignment horizontal="center"/>
    </xf>
    <xf numFmtId="1" fontId="9" fillId="0" borderId="4" xfId="2" applyNumberFormat="1" applyFont="1" applyBorder="1" applyAlignment="1">
      <alignment horizontal="center"/>
    </xf>
    <xf numFmtId="0" fontId="9" fillId="0" borderId="5" xfId="2" applyNumberFormat="1" applyFont="1" applyBorder="1" applyAlignment="1">
      <alignment horizontal="center"/>
    </xf>
    <xf numFmtId="0" fontId="9" fillId="0" borderId="7" xfId="2" applyNumberFormat="1" applyFont="1" applyBorder="1" applyAlignment="1"/>
    <xf numFmtId="14" fontId="9" fillId="0" borderId="4" xfId="2" applyNumberFormat="1" applyFont="1" applyBorder="1" applyAlignment="1"/>
    <xf numFmtId="14" fontId="18" fillId="0" borderId="4" xfId="2" applyNumberFormat="1" applyBorder="1"/>
    <xf numFmtId="0" fontId="9" fillId="0" borderId="8" xfId="2" applyFont="1" applyBorder="1"/>
    <xf numFmtId="0" fontId="0" fillId="0" borderId="0" xfId="0" applyFont="1" applyBorder="1"/>
    <xf numFmtId="0" fontId="9" fillId="0" borderId="0" xfId="2" applyNumberFormat="1" applyFont="1" applyBorder="1" applyAlignment="1"/>
    <xf numFmtId="0" fontId="18" fillId="0" borderId="8" xfId="2" applyFill="1" applyBorder="1" applyAlignment="1">
      <alignment horizontal="center"/>
    </xf>
    <xf numFmtId="0" fontId="0" fillId="0" borderId="4" xfId="2" applyFont="1" applyBorder="1"/>
    <xf numFmtId="0" fontId="30" fillId="0" borderId="4" xfId="2" applyNumberFormat="1" applyFont="1" applyFill="1" applyBorder="1" applyAlignment="1">
      <alignment horizontal="center"/>
    </xf>
    <xf numFmtId="0" fontId="30" fillId="0" borderId="8" xfId="2" applyNumberFormat="1" applyFont="1" applyFill="1" applyBorder="1" applyAlignment="1">
      <alignment horizontal="center"/>
    </xf>
    <xf numFmtId="0" fontId="18" fillId="0" borderId="7" xfId="2" applyFill="1" applyBorder="1"/>
    <xf numFmtId="0" fontId="18" fillId="0" borderId="4" xfId="2" applyFill="1" applyBorder="1"/>
    <xf numFmtId="0" fontId="9" fillId="0" borderId="8" xfId="2" applyFont="1" applyFill="1" applyBorder="1"/>
    <xf numFmtId="0" fontId="9" fillId="0" borderId="10" xfId="2" applyFont="1" applyFill="1" applyBorder="1"/>
    <xf numFmtId="0" fontId="31" fillId="0" borderId="0" xfId="0" applyFont="1"/>
    <xf numFmtId="0" fontId="31" fillId="0" borderId="7" xfId="0" applyFont="1" applyBorder="1" applyAlignment="1">
      <alignment horizontal="center"/>
    </xf>
    <xf numFmtId="0" fontId="31" fillId="0" borderId="4" xfId="0" applyFont="1" applyBorder="1"/>
    <xf numFmtId="0" fontId="31" fillId="0" borderId="5" xfId="0" applyFont="1" applyBorder="1"/>
    <xf numFmtId="0" fontId="31" fillId="0" borderId="6" xfId="0" applyFont="1" applyBorder="1" applyAlignment="1">
      <alignment horizontal="center"/>
    </xf>
    <xf numFmtId="0" fontId="31" fillId="0" borderId="8" xfId="0" applyFont="1" applyBorder="1"/>
    <xf numFmtId="0" fontId="31" fillId="0" borderId="9" xfId="0" applyFont="1" applyBorder="1"/>
    <xf numFmtId="0" fontId="31" fillId="0" borderId="13" xfId="0" applyFont="1" applyBorder="1"/>
    <xf numFmtId="0" fontId="31" fillId="0" borderId="11" xfId="0" applyFont="1" applyBorder="1"/>
    <xf numFmtId="0" fontId="31" fillId="0" borderId="17" xfId="0" applyFont="1" applyBorder="1"/>
    <xf numFmtId="0" fontId="31" fillId="0" borderId="21" xfId="0" applyFont="1" applyBorder="1"/>
    <xf numFmtId="0" fontId="17" fillId="0" borderId="0" xfId="0" applyFont="1"/>
    <xf numFmtId="0" fontId="31" fillId="0" borderId="0" xfId="0" quotePrefix="1" applyFont="1"/>
    <xf numFmtId="0" fontId="31" fillId="9" borderId="7" xfId="0" applyFont="1" applyFill="1" applyBorder="1" applyAlignment="1">
      <alignment horizontal="center"/>
    </xf>
    <xf numFmtId="0" fontId="31" fillId="0" borderId="5" xfId="0" applyNumberFormat="1" applyFont="1" applyBorder="1"/>
    <xf numFmtId="14" fontId="18" fillId="0" borderId="8" xfId="2" applyNumberFormat="1" applyBorder="1"/>
    <xf numFmtId="0" fontId="31" fillId="0" borderId="4" xfId="0" applyFont="1" applyBorder="1" applyAlignment="1">
      <alignment horizontal="center"/>
    </xf>
    <xf numFmtId="165" fontId="9" fillId="0" borderId="4" xfId="2" applyNumberFormat="1" applyFont="1" applyFill="1" applyBorder="1"/>
    <xf numFmtId="0" fontId="13" fillId="0" borderId="4" xfId="2" applyNumberFormat="1" applyFont="1" applyFill="1" applyBorder="1" applyAlignment="1">
      <alignment horizontal="center"/>
    </xf>
    <xf numFmtId="165" fontId="18" fillId="0" borderId="8" xfId="2" applyNumberFormat="1" applyFill="1" applyBorder="1"/>
    <xf numFmtId="0" fontId="13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quotePrefix="1" applyFont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35" fillId="0" borderId="8" xfId="2" applyNumberFormat="1" applyFont="1" applyFill="1" applyBorder="1" applyAlignment="1">
      <alignment horizontal="center"/>
    </xf>
    <xf numFmtId="0" fontId="36" fillId="0" borderId="4" xfId="2" applyNumberFormat="1" applyFont="1" applyFill="1" applyBorder="1" applyAlignment="1">
      <alignment horizontal="center"/>
    </xf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Font="1" applyBorder="1"/>
    <xf numFmtId="0" fontId="8" fillId="0" borderId="4" xfId="2" applyFont="1" applyFill="1" applyBorder="1"/>
    <xf numFmtId="0" fontId="7" fillId="0" borderId="7" xfId="2" applyFont="1" applyFill="1" applyBorder="1"/>
    <xf numFmtId="0" fontId="7" fillId="0" borderId="4" xfId="2" applyFont="1" applyFill="1" applyBorder="1"/>
    <xf numFmtId="0" fontId="7" fillId="0" borderId="18" xfId="2" applyFont="1" applyFill="1" applyBorder="1"/>
    <xf numFmtId="0" fontId="6" fillId="0" borderId="7" xfId="2" applyFont="1" applyFill="1" applyBorder="1"/>
    <xf numFmtId="0" fontId="6" fillId="0" borderId="18" xfId="2" applyFont="1" applyFill="1" applyBorder="1"/>
    <xf numFmtId="0" fontId="6" fillId="0" borderId="4" xfId="2" applyFont="1" applyFill="1" applyBorder="1"/>
    <xf numFmtId="14" fontId="18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14" fontId="18" fillId="0" borderId="8" xfId="2" applyNumberFormat="1" applyFill="1" applyBorder="1"/>
    <xf numFmtId="0" fontId="5" fillId="0" borderId="18" xfId="2" applyFont="1" applyFill="1" applyBorder="1"/>
    <xf numFmtId="0" fontId="5" fillId="0" borderId="7" xfId="2" applyFont="1" applyFill="1" applyBorder="1"/>
    <xf numFmtId="0" fontId="5" fillId="0" borderId="4" xfId="2" applyFont="1" applyFill="1" applyBorder="1"/>
    <xf numFmtId="0" fontId="5" fillId="0" borderId="4" xfId="2" applyFont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18" xfId="2" applyFont="1" applyFill="1" applyBorder="1"/>
    <xf numFmtId="0" fontId="4" fillId="0" borderId="4" xfId="2" applyFont="1" applyBorder="1"/>
    <xf numFmtId="0" fontId="3" fillId="0" borderId="4" xfId="2" applyFont="1" applyBorder="1"/>
    <xf numFmtId="0" fontId="3" fillId="0" borderId="18" xfId="2" applyFont="1" applyFill="1" applyBorder="1"/>
    <xf numFmtId="0" fontId="3" fillId="0" borderId="7" xfId="2" applyFont="1" applyFill="1" applyBorder="1"/>
    <xf numFmtId="0" fontId="2" fillId="0" borderId="7" xfId="2" applyFont="1" applyFill="1" applyBorder="1"/>
    <xf numFmtId="0" fontId="2" fillId="0" borderId="4" xfId="2" applyFont="1" applyFill="1" applyBorder="1"/>
    <xf numFmtId="0" fontId="2" fillId="0" borderId="18" xfId="2" applyFont="1" applyFill="1" applyBorder="1"/>
    <xf numFmtId="0" fontId="2" fillId="0" borderId="4" xfId="2" applyNumberFormat="1" applyFont="1" applyBorder="1" applyAlignment="1"/>
    <xf numFmtId="165" fontId="2" fillId="0" borderId="4" xfId="2" applyNumberFormat="1" applyFont="1" applyBorder="1" applyAlignment="1"/>
    <xf numFmtId="14" fontId="2" fillId="0" borderId="4" xfId="2" applyNumberFormat="1" applyFont="1" applyBorder="1" applyAlignment="1"/>
    <xf numFmtId="0" fontId="2" fillId="0" borderId="4" xfId="2" applyNumberFormat="1" applyFont="1" applyBorder="1" applyAlignment="1">
      <alignment horizontal="center"/>
    </xf>
    <xf numFmtId="2" fontId="2" fillId="0" borderId="4" xfId="2" applyNumberFormat="1" applyFont="1" applyBorder="1" applyAlignment="1">
      <alignment horizontal="center"/>
    </xf>
    <xf numFmtId="1" fontId="2" fillId="0" borderId="4" xfId="2" applyNumberFormat="1" applyFont="1" applyBorder="1" applyAlignment="1">
      <alignment horizontal="center"/>
    </xf>
    <xf numFmtId="0" fontId="2" fillId="0" borderId="5" xfId="2" applyNumberFormat="1" applyFont="1" applyBorder="1" applyAlignment="1">
      <alignment horizontal="center"/>
    </xf>
    <xf numFmtId="0" fontId="2" fillId="0" borderId="7" xfId="2" applyNumberFormat="1" applyFont="1" applyBorder="1" applyAlignment="1"/>
    <xf numFmtId="0" fontId="2" fillId="0" borderId="4" xfId="2" applyFont="1" applyBorder="1" applyAlignment="1">
      <alignment horizontal="center"/>
    </xf>
    <xf numFmtId="0" fontId="2" fillId="0" borderId="4" xfId="2" applyFont="1" applyBorder="1"/>
    <xf numFmtId="0" fontId="2" fillId="0" borderId="10" xfId="2" applyFont="1" applyFill="1" applyBorder="1"/>
    <xf numFmtId="0" fontId="2" fillId="0" borderId="8" xfId="2" applyFont="1" applyFill="1" applyBorder="1"/>
    <xf numFmtId="168" fontId="18" fillId="0" borderId="4" xfId="2" applyNumberFormat="1" applyFill="1" applyBorder="1"/>
    <xf numFmtId="0" fontId="38" fillId="0" borderId="4" xfId="2" applyNumberFormat="1" applyFont="1" applyFill="1" applyBorder="1" applyAlignment="1">
      <alignment horizontal="center"/>
    </xf>
    <xf numFmtId="0" fontId="18" fillId="0" borderId="6" xfId="2" applyFill="1" applyBorder="1"/>
    <xf numFmtId="168" fontId="18" fillId="0" borderId="8" xfId="2" applyNumberFormat="1" applyFill="1" applyBorder="1"/>
    <xf numFmtId="0" fontId="36" fillId="0" borderId="8" xfId="2" applyNumberFormat="1" applyFont="1" applyFill="1" applyBorder="1" applyAlignment="1">
      <alignment horizontal="center"/>
    </xf>
    <xf numFmtId="168" fontId="2" fillId="0" borderId="4" xfId="2" applyNumberFormat="1" applyFont="1" applyBorder="1" applyAlignment="1"/>
    <xf numFmtId="165" fontId="2" fillId="0" borderId="4" xfId="2" applyNumberFormat="1" applyFont="1" applyFill="1" applyBorder="1"/>
    <xf numFmtId="0" fontId="0" fillId="0" borderId="8" xfId="0" applyFont="1" applyBorder="1"/>
    <xf numFmtId="0" fontId="37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2" fillId="0" borderId="8" xfId="2" applyNumberFormat="1" applyFont="1" applyBorder="1" applyAlignment="1"/>
    <xf numFmtId="168" fontId="18" fillId="0" borderId="4" xfId="2" applyNumberFormat="1" applyBorder="1"/>
    <xf numFmtId="0" fontId="33" fillId="0" borderId="8" xfId="2" applyNumberFormat="1" applyFont="1" applyFill="1" applyBorder="1" applyAlignment="1">
      <alignment horizontal="center"/>
    </xf>
    <xf numFmtId="0" fontId="6" fillId="0" borderId="8" xfId="2" applyFont="1" applyFill="1" applyBorder="1"/>
    <xf numFmtId="14" fontId="39" fillId="0" borderId="14" xfId="0" applyNumberFormat="1" applyFont="1" applyBorder="1"/>
    <xf numFmtId="0" fontId="11" fillId="3" borderId="11" xfId="0" applyFont="1" applyFill="1" applyBorder="1" applyAlignment="1">
      <alignment horizontal="center"/>
    </xf>
    <xf numFmtId="0" fontId="11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40" fillId="0" borderId="4" xfId="2" applyNumberFormat="1" applyFont="1" applyFill="1" applyBorder="1" applyAlignment="1">
      <alignment horizontal="center"/>
    </xf>
    <xf numFmtId="0" fontId="40" fillId="0" borderId="8" xfId="2" applyNumberFormat="1" applyFont="1" applyFill="1" applyBorder="1" applyAlignment="1">
      <alignment horizontal="center"/>
    </xf>
    <xf numFmtId="0" fontId="18" fillId="0" borderId="10" xfId="2" applyFill="1" applyBorder="1"/>
    <xf numFmtId="0" fontId="2" fillId="0" borderId="8" xfId="2" applyNumberFormat="1" applyFont="1" applyBorder="1" applyAlignment="1">
      <alignment horizontal="center"/>
    </xf>
    <xf numFmtId="2" fontId="2" fillId="0" borderId="8" xfId="2" applyNumberFormat="1" applyFont="1" applyBorder="1" applyAlignment="1">
      <alignment horizontal="center"/>
    </xf>
    <xf numFmtId="1" fontId="2" fillId="0" borderId="8" xfId="2" applyNumberFormat="1" applyFont="1" applyBorder="1" applyAlignment="1">
      <alignment horizontal="center"/>
    </xf>
    <xf numFmtId="0" fontId="2" fillId="0" borderId="9" xfId="2" applyNumberFormat="1" applyFont="1" applyBorder="1" applyAlignment="1">
      <alignment horizontal="center"/>
    </xf>
    <xf numFmtId="0" fontId="13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1" fillId="0" borderId="4" xfId="0" applyFont="1" applyFill="1" applyBorder="1"/>
    <xf numFmtId="0" fontId="41" fillId="0" borderId="4" xfId="0" applyFont="1" applyBorder="1"/>
    <xf numFmtId="0" fontId="42" fillId="0" borderId="4" xfId="0" applyFont="1" applyBorder="1"/>
    <xf numFmtId="0" fontId="4" fillId="0" borderId="8" xfId="2" applyFont="1" applyFill="1" applyBorder="1"/>
    <xf numFmtId="165" fontId="18" fillId="0" borderId="8" xfId="2" applyNumberFormat="1" applyBorder="1"/>
    <xf numFmtId="0" fontId="38" fillId="0" borderId="8" xfId="2" applyNumberFormat="1" applyFont="1" applyFill="1" applyBorder="1" applyAlignment="1">
      <alignment horizontal="center"/>
    </xf>
    <xf numFmtId="0" fontId="32" fillId="0" borderId="8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2" fillId="0" borderId="4" xfId="2" applyFont="1" applyFill="1" applyBorder="1" applyAlignment="1">
      <alignment horizontal="center"/>
    </xf>
    <xf numFmtId="0" fontId="2" fillId="0" borderId="8" xfId="2" applyFont="1" applyBorder="1"/>
    <xf numFmtId="0" fontId="42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3" fillId="13" borderId="4" xfId="0" applyNumberFormat="1" applyFont="1" applyFill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4" fillId="0" borderId="4" xfId="0" applyFont="1" applyBorder="1"/>
    <xf numFmtId="0" fontId="14" fillId="0" borderId="4" xfId="0" applyFont="1" applyFill="1" applyBorder="1"/>
    <xf numFmtId="0" fontId="2" fillId="0" borderId="0" xfId="2" applyFont="1" applyFill="1" applyBorder="1"/>
    <xf numFmtId="0" fontId="2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7" fillId="0" borderId="4" xfId="0" applyFont="1" applyFill="1" applyBorder="1"/>
    <xf numFmtId="0" fontId="2" fillId="0" borderId="2" xfId="2" applyNumberFormat="1" applyFont="1" applyBorder="1" applyAlignment="1"/>
    <xf numFmtId="0" fontId="9" fillId="0" borderId="0" xfId="2" applyFont="1" applyFill="1" applyBorder="1"/>
    <xf numFmtId="0" fontId="9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5" fillId="0" borderId="4" xfId="2" applyNumberFormat="1" applyFont="1" applyFill="1" applyBorder="1" applyAlignment="1">
      <alignment horizontal="center"/>
    </xf>
    <xf numFmtId="0" fontId="45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2" fillId="0" borderId="29" xfId="2" applyNumberFormat="1" applyFont="1" applyBorder="1" applyAlignment="1"/>
    <xf numFmtId="168" fontId="2" fillId="0" borderId="8" xfId="2" applyNumberFormat="1" applyFont="1" applyBorder="1" applyAlignment="1"/>
    <xf numFmtId="0" fontId="2" fillId="0" borderId="30" xfId="2" applyNumberFormat="1" applyFont="1" applyBorder="1" applyAlignment="1"/>
    <xf numFmtId="0" fontId="1" fillId="0" borderId="7" xfId="2" applyFont="1" applyFill="1" applyBorder="1"/>
    <xf numFmtId="0" fontId="1" fillId="0" borderId="4" xfId="2" applyFont="1" applyFill="1" applyBorder="1"/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4" fillId="0" borderId="26" xfId="0" applyFont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7" borderId="0" xfId="0" applyFont="1" applyFill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textRotation="90"/>
    </xf>
    <xf numFmtId="0" fontId="21" fillId="0" borderId="0" xfId="0" applyFont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 textRotation="90"/>
    </xf>
    <xf numFmtId="0" fontId="21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00000000-000A-0000-FFFF-FFFF00000000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O4633" totalsRowShown="0" headerRowDxfId="157" headerRowBorderDxfId="156" tableBorderDxfId="155" totalsRowBorderDxfId="154" headerRowCellStyle="Normal 2">
  <autoFilter ref="A3:O4633" xr:uid="{00000000-0009-0000-0100-000001000000}">
    <filterColumn colId="14">
      <filters blank="1"/>
    </filterColumn>
  </autoFilter>
  <sortState xmlns:xlrd2="http://schemas.microsoft.com/office/spreadsheetml/2017/richdata2" ref="A1294:O4633">
    <sortCondition ref="B3:B4633"/>
  </sortState>
  <tableColumns count="15">
    <tableColumn id="1" xr3:uid="{00000000-0010-0000-0000-000001000000}" name="Mã đơn hàng" dataDxfId="153" dataCellStyle="Normal 2"/>
    <tableColumn id="2" xr3:uid="{00000000-0010-0000-0000-000002000000}" name="Mã hàng" dataDxfId="152" dataCellStyle="Normal 2"/>
    <tableColumn id="3" xr3:uid="{00000000-0010-0000-0000-000003000000}" name="Ngày đặt" dataDxfId="151" dataCellStyle="Normal 2"/>
    <tableColumn id="4" xr3:uid="{00000000-0010-0000-0000-000004000000}" name="Ngày Dệt Xong" dataDxfId="150" dataCellStyle="Normal 2"/>
    <tableColumn id="5" xr3:uid="{00000000-0010-0000-0000-000005000000}" name="Màu" dataDxfId="149" dataCellStyle="Normal 2"/>
    <tableColumn id="6" xr3:uid="{00000000-0010-0000-0000-000006000000}" name="SL Đặt" dataDxfId="148" dataCellStyle="Normal 2"/>
    <tableColumn id="7" xr3:uid="{00000000-0010-0000-0000-000007000000}" name="SL Dệt" dataDxfId="147" dataCellStyle="Normal 2"/>
    <tableColumn id="8" xr3:uid="{00000000-0010-0000-0000-000008000000}" name="Máy Chạy" dataDxfId="146" dataCellStyle="Normal 2"/>
    <tableColumn id="9" xr3:uid="{00000000-0010-0000-0000-000009000000}" name="Tình trạng" dataDxfId="145" dataCellStyle="Normal 2"/>
    <tableColumn id="10" xr3:uid="{00000000-0010-0000-0000-00000A000000}" name="Time" dataDxfId="144" dataCellStyle="Normal 2"/>
    <tableColumn id="11" xr3:uid="{00000000-0010-0000-0000-00000B000000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00000000-0010-0000-0000-00000C000000}" name="TG Dệt" dataDxfId="142" dataCellStyle="Normal 2"/>
    <tableColumn id="13" xr3:uid="{00000000-0010-0000-0000-00000D000000}" name="TG Còn lại" dataDxfId="141" dataCellStyle="Normal 2"/>
    <tableColumn id="14" xr3:uid="{00000000-0010-0000-0000-00000E000000}" name="Thay mẫu" dataDxfId="140" dataCellStyle="Normal 2"/>
    <tableColumn id="15" xr3:uid="{00000000-0010-0000-0000-00000F000000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Q5708" totalsRowShown="0" headerRowDxfId="131" tableBorderDxfId="130">
  <autoFilter ref="A1:Q5708" xr:uid="{00000000-0009-0000-0100-000003000000}">
    <filterColumn colId="8">
      <filters blank="1"/>
    </filterColumn>
  </autoFilter>
  <sortState xmlns:xlrd2="http://schemas.microsoft.com/office/spreadsheetml/2017/richdata2" ref="A5619:Q5708">
    <sortCondition ref="A1:A5708"/>
  </sortState>
  <tableColumns count="17">
    <tableColumn id="1" xr3:uid="{00000000-0010-0000-0100-000001000000}" name="Máy" dataDxfId="129"/>
    <tableColumn id="2" xr3:uid="{00000000-0010-0000-0100-000002000000}" name="Mã Hàng " dataDxfId="128"/>
    <tableColumn id="3" xr3:uid="{00000000-0010-0000-0100-000003000000}" name="Màu " dataDxfId="127"/>
    <tableColumn id="4" xr3:uid="{00000000-0010-0000-0100-000004000000}" name="Thời gian" dataDxfId="126"/>
    <tableColumn id="5" xr3:uid="{00000000-0010-0000-0100-000005000000}" name="Ngày đặt " dataDxfId="125"/>
    <tableColumn id="6" xr3:uid="{00000000-0010-0000-0100-000006000000}" name="Tổng SL Dệt" dataDxfId="124">
      <calculatedColumnFormula>SUM(J2:L2)</calculatedColumnFormula>
    </tableColumn>
    <tableColumn id="19" xr3:uid="{00000000-0010-0000-0100-000013000000}" name="Tổng Kim hư" dataDxfId="123">
      <calculatedColumnFormula>SUM(Table3[[#This Row],[Kim Dệt Ngày]:[Kim Khác Đêm]])</calculatedColumnFormula>
    </tableColumn>
    <tableColumn id="7" xr3:uid="{00000000-0010-0000-0100-000007000000}" name="Ngày chạy" dataDxfId="122"/>
    <tableColumn id="8" xr3:uid="{00000000-0010-0000-0100-000008000000}" name="Ngưng ngày" dataDxfId="121"/>
    <tableColumn id="9" xr3:uid="{00000000-0010-0000-0100-000009000000}" name="Ngày " dataDxfId="120"/>
    <tableColumn id="10" xr3:uid="{00000000-0010-0000-0100-00000A000000}" name="Tăng ca" dataDxfId="119"/>
    <tableColumn id="11" xr3:uid="{00000000-0010-0000-0100-00000B000000}" name="Đêm" dataDxfId="118"/>
    <tableColumn id="12" xr3:uid="{00000000-0010-0000-0100-00000C000000}" name="Kim Dệt Ngày" dataDxfId="117"/>
    <tableColumn id="13" xr3:uid="{00000000-0010-0000-0100-00000D000000}" name="Kim Khác Ngày" dataDxfId="116"/>
    <tableColumn id="14" xr3:uid="{00000000-0010-0000-0100-00000E000000}" name="Kim Dệt Đêm" dataDxfId="115"/>
    <tableColumn id="15" xr3:uid="{00000000-0010-0000-0100-00000F000000}" name="Kim Khác Đêm" dataDxfId="114"/>
    <tableColumn id="16" xr3:uid="{00000000-0010-0000-0100-000010000000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2000000}" name="Table316" displayName="Table316" ref="N1:V207" totalsRowShown="0" headerRowDxfId="112" headerRowBorderDxfId="111" tableBorderDxfId="110" totalsRowBorderDxfId="109">
  <autoFilter ref="N1:V207" xr:uid="{00000000-0009-0000-0100-00000F000000}"/>
  <tableColumns count="9">
    <tableColumn id="1" xr3:uid="{00000000-0010-0000-0200-000001000000}" name="Mã hàng" dataDxfId="108"/>
    <tableColumn id="2" xr3:uid="{00000000-0010-0000-0200-000002000000}" name="Ngang su" dataDxfId="107"/>
    <tableColumn id="3" xr3:uid="{00000000-0010-0000-0200-000003000000}" name="Cao su" dataDxfId="106"/>
    <tableColumn id="4" xr3:uid="{00000000-0010-0000-0200-000004000000}" name="Ống" dataDxfId="105"/>
    <tableColumn id="8" xr3:uid="{00000000-0010-0000-0200-000008000000}" name="Giãn ống" dataDxfId="104"/>
    <tableColumn id="5" xr3:uid="{00000000-0010-0000-0200-000005000000}" name="Bàn" dataDxfId="103"/>
    <tableColumn id="6" xr3:uid="{00000000-0010-0000-0200-000006000000}" name="Giãn Bàn" dataDxfId="102"/>
    <tableColumn id="9" xr3:uid="{00000000-0010-0000-0200-000009000000}" name="Cân nặng" dataDxfId="101"/>
    <tableColumn id="7" xr3:uid="{00000000-0010-0000-0200-000007000000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85" displayName="Table85" ref="Z16:AC21" totalsRowShown="0" headerRowDxfId="99" dataDxfId="97" headerRowBorderDxfId="98" tableBorderDxfId="96" totalsRowBorderDxfId="95">
  <autoFilter ref="Z16:AC21" xr:uid="{00000000-0009-0000-0100-000002000000}"/>
  <sortState xmlns:xlrd2="http://schemas.microsoft.com/office/spreadsheetml/2017/richdata2" ref="Z17:AC21">
    <sortCondition descending="1" ref="Z16:Z21"/>
  </sortState>
  <tableColumns count="4">
    <tableColumn id="1" xr3:uid="{00000000-0010-0000-0300-000001000000}" name="Máy" dataDxfId="94"/>
    <tableColumn id="3" xr3:uid="{00000000-0010-0000-0300-000003000000}" name="Kim" dataDxfId="93"/>
    <tableColumn id="5" xr3:uid="{00000000-0010-0000-0300-000005000000}" name="Mã hàng" dataDxfId="92"/>
    <tableColumn id="2" xr3:uid="{00000000-0010-0000-0300-000002000000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15106" displayName="Table15106" ref="F6:I18" totalsRowShown="0" headerRowDxfId="90" dataDxfId="88" headerRowBorderDxfId="89" tableBorderDxfId="87" totalsRowBorderDxfId="86">
  <autoFilter ref="F6:I18" xr:uid="{00000000-0009-0000-0100-000004000000}"/>
  <sortState xmlns:xlrd2="http://schemas.microsoft.com/office/spreadsheetml/2017/richdata2" ref="F7:I18">
    <sortCondition descending="1" ref="F6:F18"/>
  </sortState>
  <tableColumns count="4">
    <tableColumn id="1" xr3:uid="{00000000-0010-0000-0400-000001000000}" name="Kim" dataDxfId="85"/>
    <tableColumn id="3" xr3:uid="{00000000-0010-0000-0400-000003000000}" name="Máy" dataDxfId="84"/>
    <tableColumn id="5" xr3:uid="{00000000-0010-0000-0400-000005000000}" name="Mã hàng" dataDxfId="83"/>
    <tableColumn id="2" xr3:uid="{00000000-0010-0000-0400-000002000000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117" displayName="Table5117" ref="K6:N20" totalsRowShown="0" headerRowDxfId="81" dataDxfId="79" headerRowBorderDxfId="80" tableBorderDxfId="78" totalsRowBorderDxfId="77">
  <autoFilter ref="K6:N20" xr:uid="{00000000-0009-0000-0100-000005000000}"/>
  <tableColumns count="4">
    <tableColumn id="1" xr3:uid="{00000000-0010-0000-0500-000001000000}" name="Màu" dataDxfId="76"/>
    <tableColumn id="5" xr3:uid="{00000000-0010-0000-0500-000005000000}" name="Mã hàng" dataDxfId="75"/>
    <tableColumn id="4" xr3:uid="{00000000-0010-0000-0500-000004000000}" name="Máy" dataDxfId="74"/>
    <tableColumn id="3" xr3:uid="{00000000-0010-0000-0500-000003000000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128" displayName="Table6128" ref="P6:S21" totalsRowShown="0" headerRowDxfId="72" dataDxfId="70" headerRowBorderDxfId="71" tableBorderDxfId="69" totalsRowBorderDxfId="68">
  <autoFilter ref="P6:S21" xr:uid="{00000000-0009-0000-0100-000006000000}"/>
  <sortState xmlns:xlrd2="http://schemas.microsoft.com/office/spreadsheetml/2017/richdata2" ref="P7:S21">
    <sortCondition descending="1" ref="P6:P21"/>
  </sortState>
  <tableColumns count="4">
    <tableColumn id="1" xr3:uid="{00000000-0010-0000-0600-000001000000}" name="Kim" dataDxfId="67"/>
    <tableColumn id="4" xr3:uid="{00000000-0010-0000-0600-000004000000}" name="Máy" dataDxfId="66"/>
    <tableColumn id="5" xr3:uid="{00000000-0010-0000-0600-000005000000}" name="Mã hàng" dataDxfId="65"/>
    <tableColumn id="2" xr3:uid="{00000000-0010-0000-0600-000002000000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7720" displayName="Table7720" ref="U4:X21" totalsRowShown="0" headerRowDxfId="63" dataDxfId="62">
  <autoFilter ref="U4:X21" xr:uid="{00000000-0009-0000-0100-000007000000}"/>
  <sortState xmlns:xlrd2="http://schemas.microsoft.com/office/spreadsheetml/2017/richdata2" ref="U5:X19">
    <sortCondition descending="1" ref="U4:U19"/>
  </sortState>
  <tableColumns count="4">
    <tableColumn id="1" xr3:uid="{00000000-0010-0000-0700-000001000000}" name="Kim" dataDxfId="61"/>
    <tableColumn id="4" xr3:uid="{00000000-0010-0000-0700-000004000000}" name="Máy" dataDxfId="60"/>
    <tableColumn id="5" xr3:uid="{00000000-0010-0000-0700-000005000000}" name="Mã hàng"/>
    <tableColumn id="2" xr3:uid="{00000000-0010-0000-0700-000002000000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e1321" displayName="Table1321" ref="AG3:AJ34" totalsRowShown="0" headerRowDxfId="58" headerRowBorderDxfId="57" tableBorderDxfId="56" totalsRowBorderDxfId="55">
  <autoFilter ref="AG3:AJ34" xr:uid="{00000000-0009-0000-0100-000008000000}"/>
  <sortState xmlns:xlrd2="http://schemas.microsoft.com/office/spreadsheetml/2017/richdata2" ref="AG4:AJ34">
    <sortCondition ref="AH3:AH34"/>
  </sortState>
  <tableColumns count="4">
    <tableColumn id="1" xr3:uid="{00000000-0010-0000-0800-000001000000}" name="Kim" dataDxfId="54"/>
    <tableColumn id="2" xr3:uid="{00000000-0010-0000-0800-000002000000}" name="Máy" dataDxfId="53"/>
    <tableColumn id="3" xr3:uid="{00000000-0010-0000-0800-000003000000}" name="Mã hàng" dataDxfId="52"/>
    <tableColumn id="5" xr3:uid="{00000000-0010-0000-0800-000005000000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1422" displayName="Table1422" ref="AL3:AO21" totalsRowShown="0" headerRowDxfId="50" headerRowBorderDxfId="49" tableBorderDxfId="48" totalsRowBorderDxfId="47">
  <autoFilter ref="AL3:AO21" xr:uid="{00000000-0009-0000-0100-000009000000}"/>
  <tableColumns count="4">
    <tableColumn id="1" xr3:uid="{00000000-0010-0000-0900-000001000000}" name="Kim" dataDxfId="46"/>
    <tableColumn id="2" xr3:uid="{00000000-0010-0000-0900-000002000000}" name="Máy" dataDxfId="45"/>
    <tableColumn id="3" xr3:uid="{00000000-0010-0000-0900-000003000000}" name="Mã hàng" dataDxfId="44"/>
    <tableColumn id="6" xr3:uid="{00000000-0010-0000-0900-000006000000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e1523" displayName="Table1523" ref="AQ3:AT6" totalsRowShown="0" headerRowDxfId="42" headerRowBorderDxfId="41" tableBorderDxfId="40" totalsRowBorderDxfId="39">
  <autoFilter ref="AQ3:AT6" xr:uid="{00000000-0009-0000-0100-00000A000000}"/>
  <tableColumns count="4">
    <tableColumn id="1" xr3:uid="{00000000-0010-0000-0A00-000001000000}" name="Kim" dataDxfId="38"/>
    <tableColumn id="2" xr3:uid="{00000000-0010-0000-0A00-000002000000}" name="Máy" dataDxfId="37"/>
    <tableColumn id="3" xr3:uid="{00000000-0010-0000-0A00-000003000000}" name="Mã hàng" dataDxfId="36"/>
    <tableColumn id="5" xr3:uid="{00000000-0010-0000-0A00-000005000000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1624" displayName="Table1624" ref="AQ8:AT12" totalsRowShown="0" headerRowDxfId="34" headerRowBorderDxfId="33" tableBorderDxfId="32" totalsRowBorderDxfId="31">
  <autoFilter ref="AQ8:AT12" xr:uid="{00000000-0009-0000-0100-00000B000000}"/>
  <tableColumns count="4">
    <tableColumn id="1" xr3:uid="{00000000-0010-0000-0B00-000001000000}" name="Kim" dataDxfId="30"/>
    <tableColumn id="2" xr3:uid="{00000000-0010-0000-0B00-000002000000}" name="Máy" dataDxfId="29"/>
    <tableColumn id="3" xr3:uid="{00000000-0010-0000-0B00-000003000000}" name="Mã hàng" dataDxfId="28"/>
    <tableColumn id="4" xr3:uid="{00000000-0010-0000-0B00-000004000000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25" displayName="Table1725" ref="AQ14:AT16" totalsRowShown="0" headerRowDxfId="26" headerRowBorderDxfId="25" tableBorderDxfId="24" totalsRowBorderDxfId="23">
  <autoFilter ref="AQ14:AT16" xr:uid="{00000000-0009-0000-0100-00000C000000}"/>
  <tableColumns count="4">
    <tableColumn id="1" xr3:uid="{00000000-0010-0000-0C00-000001000000}" name="Kim" dataDxfId="22"/>
    <tableColumn id="2" xr3:uid="{00000000-0010-0000-0C00-000002000000}" name="Máy" dataDxfId="21"/>
    <tableColumn id="3" xr3:uid="{00000000-0010-0000-0C00-000003000000}" name="Mã hàng" dataDxfId="20"/>
    <tableColumn id="4" xr3:uid="{00000000-0010-0000-0C00-000004000000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Table1826" displayName="Table1826" ref="AQ18:AT20" totalsRowShown="0" headerRowDxfId="18" headerRowBorderDxfId="17" tableBorderDxfId="16" totalsRowBorderDxfId="15">
  <autoFilter ref="AQ18:AT20" xr:uid="{00000000-0009-0000-0100-00000D000000}"/>
  <tableColumns count="4">
    <tableColumn id="1" xr3:uid="{00000000-0010-0000-0D00-000001000000}" name="Kim" dataDxfId="14"/>
    <tableColumn id="2" xr3:uid="{00000000-0010-0000-0D00-000002000000}" name="Máy" dataDxfId="13"/>
    <tableColumn id="3" xr3:uid="{00000000-0010-0000-0D00-000003000000}" name="Mã hàng" dataDxfId="12"/>
    <tableColumn id="4" xr3:uid="{00000000-0010-0000-0D00-000004000000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e132128" displayName="Table132128" ref="AG40:AJ104" totalsRowShown="0" headerRowDxfId="10" headerRowBorderDxfId="9" tableBorderDxfId="8" totalsRowBorderDxfId="7">
  <autoFilter ref="AG40:AJ104" xr:uid="{00000000-0009-0000-0100-00000E000000}"/>
  <sortState xmlns:xlrd2="http://schemas.microsoft.com/office/spreadsheetml/2017/richdata2" ref="AG41:AJ104">
    <sortCondition ref="AG40:AG104"/>
  </sortState>
  <tableColumns count="4">
    <tableColumn id="1" xr3:uid="{00000000-0010-0000-0E00-000001000000}" name="Kim" dataDxfId="6"/>
    <tableColumn id="2" xr3:uid="{00000000-0010-0000-0E00-000002000000}" name="Máy" dataDxfId="5"/>
    <tableColumn id="3" xr3:uid="{00000000-0010-0000-0E00-000003000000}" name="Mã hàng" dataDxfId="4"/>
    <tableColumn id="5" xr3:uid="{00000000-0010-0000-0E00-000005000000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Table17" displayName="Table17" ref="G74:L130" totalsRowShown="0" headerRowDxfId="2">
  <autoFilter ref="G74:L130" xr:uid="{00000000-0009-0000-0100-000011000000}"/>
  <tableColumns count="6">
    <tableColumn id="1" xr3:uid="{00000000-0010-0000-0F00-000001000000}" name="Máy" dataDxfId="1"/>
    <tableColumn id="2" xr3:uid="{00000000-0010-0000-0F00-000002000000}" name="Hiệu Motor Servo" dataDxfId="0"/>
    <tableColumn id="3" xr3:uid="{00000000-0010-0000-0F00-000003000000}" name="Số hiệu"/>
    <tableColumn id="4" xr3:uid="{00000000-0010-0000-0F00-000004000000}" name="Loại"/>
    <tableColumn id="5" xr3:uid="{00000000-0010-0000-0F00-000005000000}" name="Column1"/>
    <tableColumn id="6" xr3:uid="{00000000-0010-0000-0F00-0000060000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4633"/>
  <sheetViews>
    <sheetView tabSelected="1" topLeftCell="A4272" zoomScaleNormal="100" workbookViewId="0">
      <selection activeCell="G4289" sqref="G4289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93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56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2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2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2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2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2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2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2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2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2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2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2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2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2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2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2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2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2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2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2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2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2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2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2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2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2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2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2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2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2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2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2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2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2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2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2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2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2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2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2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2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2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2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2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2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2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2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2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2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2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2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2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2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2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2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2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2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2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2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2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2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2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2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2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2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2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2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2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2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2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2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2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2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2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2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2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2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2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2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2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2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2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2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2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2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2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2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2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2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2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2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2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2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2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2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2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2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2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2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2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2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2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2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2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2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2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2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2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2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2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2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2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2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2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2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2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2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2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2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2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2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2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2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2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2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2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2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2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2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2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2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2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2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2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2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2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2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2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2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2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2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2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2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2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2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2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2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2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2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2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2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2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2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2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2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2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2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2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2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2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2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2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2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2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2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2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2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2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2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2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2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2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2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2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2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2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2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2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2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2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2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2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2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2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2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2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2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2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2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2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2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2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2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2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2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2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2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2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2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2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2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2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2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2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2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2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2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2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2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2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2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2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2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2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2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2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2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2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2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2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2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2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2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2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2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2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2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2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2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2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2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2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2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2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2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2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2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2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2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2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2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2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2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2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2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2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2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2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2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2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2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2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2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2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2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2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2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2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2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2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2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2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2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2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2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2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2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2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2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2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2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2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2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2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2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2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2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2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2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2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2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2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2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2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2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2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2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2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2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2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2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2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2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2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2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2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2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2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2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2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2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2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2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2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2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2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2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2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2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2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2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2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2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2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2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2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2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2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2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2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2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2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2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2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2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2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2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2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2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2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2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2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2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2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2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2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2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2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2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2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2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2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2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2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2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2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2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2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2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2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2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2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2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2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2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2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2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2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2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2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2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2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2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2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2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2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2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2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2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2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2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2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2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2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2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2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2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2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2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2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2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2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2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2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2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2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2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2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2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2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2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2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2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2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2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2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2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2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2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2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2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2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2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2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2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2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2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2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2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2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2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2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2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2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2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2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2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2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2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2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2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2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2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2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2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2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2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2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2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2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2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2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2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2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2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2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2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2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2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2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2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2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2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2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2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2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2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2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2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2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2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2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2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2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2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2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2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2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2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2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2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2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2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2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2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2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2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2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2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2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2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2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2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2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2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2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2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2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2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2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2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2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2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2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2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2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2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2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2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2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2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2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2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2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2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2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2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2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2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2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2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2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2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2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2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2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2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2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2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2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2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2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2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2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2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2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2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2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2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2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2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2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2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2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2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2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2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2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2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2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2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2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2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2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2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2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2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2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2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2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2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2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2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2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2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2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2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2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2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2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2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2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2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2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2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2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2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2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2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2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2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2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2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2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2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2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2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2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2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2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2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2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2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2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2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2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2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2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2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2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2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2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2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2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2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2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2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2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2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2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2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2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2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2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2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2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2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2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2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2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2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2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2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2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2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2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2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2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2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2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2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2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2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2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2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2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2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2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2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2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2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2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2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2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2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2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2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2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2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2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2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2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2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2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2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2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2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2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2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2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2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2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2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2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2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2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2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2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2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2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2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2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2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2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2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2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2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2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2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2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2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2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2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2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2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2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2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2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2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2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2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2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2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2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2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2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2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2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2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2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2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2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2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2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2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2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2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2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2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2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2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2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2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2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2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2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2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2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2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2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2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2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2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2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2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2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2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2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2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2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2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2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2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2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2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2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2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2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2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2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2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2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2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2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2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2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2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2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2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2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2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2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2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2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2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2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2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2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2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2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2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2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2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2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2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2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2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2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2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2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2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2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2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2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2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2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2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2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2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2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2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2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2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2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2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2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2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2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2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2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2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2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2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2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2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2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2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2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2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2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2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2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2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2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2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2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2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2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2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2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2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2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2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2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2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2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2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2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2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2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2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2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2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2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2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2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2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2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2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2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2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2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2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2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2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2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2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2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2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2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2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2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2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2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2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2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2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2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2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2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2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2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2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2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2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2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2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2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2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2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2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2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2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2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2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2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2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2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2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2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2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2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2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2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2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2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2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2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2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2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2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2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2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2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2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2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2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2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2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2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2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2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2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2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2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2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2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2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2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2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2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2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2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2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2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2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2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2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2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2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2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2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2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2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2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2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2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2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2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2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2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2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2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2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2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2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2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2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2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2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2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2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2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2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2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2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2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2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2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2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2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2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2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2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2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2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2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2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2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2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2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2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2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2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2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2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2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2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2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2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2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2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2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2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2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2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2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2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2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2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2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2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2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2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2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2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2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2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2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2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2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2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2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2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2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2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2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2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2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2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2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2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2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2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2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2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2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2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2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2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2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2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2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2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2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2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2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2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2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2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2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2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2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2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2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2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2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2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2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2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2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2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2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2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2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2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2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2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2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2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2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2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2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2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2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2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2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2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2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2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2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2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2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2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2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2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2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2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2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2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2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2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2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2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2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2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2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2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2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2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2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2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2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2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2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2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2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2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2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2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2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2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2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2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2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2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2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2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2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2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2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2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2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2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2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2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2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2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2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2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2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2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2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2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2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2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2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2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2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2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2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2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2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2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2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2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2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2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2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2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2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2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2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2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2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2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2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2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2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2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2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2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2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2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2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2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2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2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2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2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2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2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2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2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2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2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2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2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2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2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2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2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2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2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2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2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2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2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2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2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2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2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2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2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2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2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2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2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2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2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2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2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2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2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2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2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2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2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2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2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2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2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2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2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2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2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2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2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2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2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2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2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2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2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2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2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2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2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2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2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2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2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2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2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2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2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2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2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2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2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2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2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2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2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2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2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2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2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2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2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2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2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2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2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2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2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2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2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2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2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2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2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2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2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2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2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2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2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2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2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2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2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2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2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2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2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2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2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2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2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2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2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2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2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2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2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2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2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2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2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2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2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2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2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2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2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2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2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2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2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2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2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2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2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2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2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2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2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2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2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2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2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2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2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2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2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2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2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2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2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2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2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2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2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2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2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2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2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2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2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2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2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2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2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2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2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2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2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2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2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2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2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2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2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2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2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2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2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2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2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x14ac:dyDescent="0.2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2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2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2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2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2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2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2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2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2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2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2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2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2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2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2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2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2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2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2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2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2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2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2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2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2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2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2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2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2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2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2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2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2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2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2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2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2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2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2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2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2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2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2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2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2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2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2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2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2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2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2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2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2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2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2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2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2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2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2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2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2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2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2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x14ac:dyDescent="0.2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2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2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2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2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2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2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2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2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2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2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2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2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2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2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2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2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2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2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2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2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2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2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2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2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2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2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2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2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2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2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2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2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2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2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2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2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2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2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2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2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2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2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2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2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2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2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2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2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2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2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2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2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2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2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2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2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2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2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2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2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2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2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2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2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2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2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2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2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2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x14ac:dyDescent="0.2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x14ac:dyDescent="0.2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2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2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2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2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2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2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2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2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2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2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2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2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2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2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2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2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2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2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2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2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2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2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2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2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2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2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2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2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2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2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2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2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2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2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2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2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2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2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2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2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2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2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2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2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2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2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2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2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2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2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2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2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2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2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2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2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2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2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2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2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2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2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2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2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2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2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x14ac:dyDescent="0.2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2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2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2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2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2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2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2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2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2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2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2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2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2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2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2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2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2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2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2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2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2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2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2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2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2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2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2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2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2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2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2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2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2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2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2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2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2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2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2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2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2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2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2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2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2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2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2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2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2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2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2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2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2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2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2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2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2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2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2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2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2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2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2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2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2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2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2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2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2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2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2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2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2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2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2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2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2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2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2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2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2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2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2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2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2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2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2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2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2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2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2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2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2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2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2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2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2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2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2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2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2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2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2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2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2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2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2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2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2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2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2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2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2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2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2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2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2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2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2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2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2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2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2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2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2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2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2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2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x14ac:dyDescent="0.2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x14ac:dyDescent="0.2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x14ac:dyDescent="0.2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2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2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2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2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2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2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2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2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2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2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2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2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2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2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2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2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2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2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2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2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2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2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2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2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2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2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2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2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2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2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2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2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2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2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2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2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2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2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2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2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2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2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2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2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2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2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2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2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2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2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2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2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2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2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2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2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2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2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2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2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2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2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2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2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2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2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2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2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2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2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2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2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2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2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2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2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2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2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2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2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2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2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2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2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2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2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2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2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2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2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2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2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2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2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2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2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2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2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2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2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2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2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2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2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2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2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2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2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2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2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2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2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2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2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2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2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2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2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2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2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2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2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2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2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2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2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2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2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2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2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2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2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2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2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2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2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2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2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2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2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2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2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2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2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2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2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2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2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2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2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2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2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2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2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2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2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2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2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2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2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2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2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2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2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2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2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2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2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2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2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2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2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2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2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2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2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2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2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2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2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2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2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2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2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2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2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2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2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2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2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2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2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2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2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2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2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2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2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2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2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2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2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2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2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2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2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2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2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2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2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2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2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2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2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2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2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2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2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2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2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2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2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2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2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2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2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2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2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2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2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2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2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2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2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2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2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2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2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2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2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2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2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2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2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2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2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2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2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2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2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2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2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2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2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2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2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2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2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2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2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2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2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2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2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2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2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2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2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2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2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2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2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2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2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2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2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2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2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2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2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2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2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2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2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2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2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2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2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2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2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2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2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2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2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2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2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2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2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2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2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2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2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2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2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2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2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2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2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2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2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2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2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2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2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2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2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2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2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2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2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2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2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2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2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2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2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2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2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2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2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2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2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2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2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2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2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2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2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2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2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2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2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2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2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2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2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2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2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2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2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2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2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2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2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2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2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2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2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2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2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2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2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2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2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2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2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2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2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2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2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2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2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2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2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2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2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2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2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2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2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2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2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2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2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2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2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2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2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2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2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2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2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2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2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2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2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2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2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2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2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2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2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2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2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2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2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2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2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2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2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2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2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2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2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2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2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2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2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2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2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2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2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2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2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2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2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2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2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2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2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2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2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2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2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2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2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2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2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2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2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2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2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2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2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2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2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2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2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2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2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2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2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2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2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2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2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2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2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2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2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2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2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2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2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2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2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2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2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2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2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2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2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2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2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2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2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2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2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2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2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2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2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2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2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2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2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2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2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2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2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2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2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2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2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2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2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2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2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2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2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2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2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2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2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2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2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2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2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2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2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2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2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2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2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2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2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2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2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2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2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2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2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2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2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2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2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2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2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2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2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2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2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2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2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2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2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2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2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2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2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2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2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2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2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2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2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2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2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2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2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2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2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2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2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2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2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2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2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2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2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2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2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2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2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2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2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2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2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2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2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2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2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2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2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2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2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2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2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2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2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2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2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2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2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2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2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2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2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2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2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2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2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2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2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2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2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2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2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2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2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2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2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2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2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2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2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x14ac:dyDescent="0.2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2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2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2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2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2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2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2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2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2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2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2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2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2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2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2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2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2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2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2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2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2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2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2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2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2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2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2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2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2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2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2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2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2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2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2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2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2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2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2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2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2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2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2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2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2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2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2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2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2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2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2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2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2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2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2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2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2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2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2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2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2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2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2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2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2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2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2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2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2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2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2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2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2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2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2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2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2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2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2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2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2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2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2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2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2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2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2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2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2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2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2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2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2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2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2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2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2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2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2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2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2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2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2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2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2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2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2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2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2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2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2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2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2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2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2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2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2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2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2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2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2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2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2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2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2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2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2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2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2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2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2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2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2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2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2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2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2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2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2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2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2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2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2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2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2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2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2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2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2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2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2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2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2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2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2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2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2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2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2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2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2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2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2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2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2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2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2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2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2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2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2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2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2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2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2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2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2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2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2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2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2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2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2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2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2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2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2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2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2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2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2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2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2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2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2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2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2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2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2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2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2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2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2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2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2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2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2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2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2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2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2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2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2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2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2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2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2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2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2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2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2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2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2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2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2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2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2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2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2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2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2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2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2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2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2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2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2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2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2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2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2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2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2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2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2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2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2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2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2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2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2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2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2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2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2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2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2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2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2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2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2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2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2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2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2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2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2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2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2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2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2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2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2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2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2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2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2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2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2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2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2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2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2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2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2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2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2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2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2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2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2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2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2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2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2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2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2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2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2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2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2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2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2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2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2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2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2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2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2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2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2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2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2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2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2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2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2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2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2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2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2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2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2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2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2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2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2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2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2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2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2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2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2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2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2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2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2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2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2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2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2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2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2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2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2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2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2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2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2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2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2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2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2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2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2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2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2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2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2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2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2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2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2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2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2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2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2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2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2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2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2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2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2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2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2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2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2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2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2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2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2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2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2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2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2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2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2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2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2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2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2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2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2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2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2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2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2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2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2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2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2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2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2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2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2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2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2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2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2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2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2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2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2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2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2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2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2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2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2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2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2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2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2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2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2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2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2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2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2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2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2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2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2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2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2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2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2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2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2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2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2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2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2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2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2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2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2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2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2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2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2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2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2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2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2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2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2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2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2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2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2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2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2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2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2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2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2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2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2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2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2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2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2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2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2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2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2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2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2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2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2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2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2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2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2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2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2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2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2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2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2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2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2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2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2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2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2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2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2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2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2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2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2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2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2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2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2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2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2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2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2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2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2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2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2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2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2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2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2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2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2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2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2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2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2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2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2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2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2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2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2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2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2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2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2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2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2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2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2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2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2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2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2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2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2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2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2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2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2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2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2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2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2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2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2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2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2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2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2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2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2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2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2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2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2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2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2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2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2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2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2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2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2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2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2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2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2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2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2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2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2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2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2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2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2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2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2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2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2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2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2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2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2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2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2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2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2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2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2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2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2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2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2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2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2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2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2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2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2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2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2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2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2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2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2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2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2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2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2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2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2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2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2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2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2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2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2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2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2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2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2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2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2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2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2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2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2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2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2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2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2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2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2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2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2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2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2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2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2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2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2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2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2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2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2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2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2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2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2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2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2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2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2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2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2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2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2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2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2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2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2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2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2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2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2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2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2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2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2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2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2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2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2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2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2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2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2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2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2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2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2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2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2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2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2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2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2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2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2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2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2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2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2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2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2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2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2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2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2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2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2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2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2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2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2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2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2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2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2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2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2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2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2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2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2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2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2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2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2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2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2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2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2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2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2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2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2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2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2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2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2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2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2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2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2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2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2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2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2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2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2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2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2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2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2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2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2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2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2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2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2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2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2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2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2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2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2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2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2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2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2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2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2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2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2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2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2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2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2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2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2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2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2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2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2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2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2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2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2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2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2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2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2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2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2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2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2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2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2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2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2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2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2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2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2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2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2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2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2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2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2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2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2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2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2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2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2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2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2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2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2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2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2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2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2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2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2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2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2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2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2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2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2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2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2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2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2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2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2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2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2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2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2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2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2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2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2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2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2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2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2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2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2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2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2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2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2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2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2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2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2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2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2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2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2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2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2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2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2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2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2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2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2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2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2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2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2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2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2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2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2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2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2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2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2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2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2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2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2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2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2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2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2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2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2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2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2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2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2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2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2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2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2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2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2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2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2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2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2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2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2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2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2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2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2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2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2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2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2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2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2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2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2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2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2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2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2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2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2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2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2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2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2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2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2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2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2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2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2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2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2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2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2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2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2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2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2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2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2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2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2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2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2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2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2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2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2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2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2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2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2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2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2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2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2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2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2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2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2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2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2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2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2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2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2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2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2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2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2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2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x14ac:dyDescent="0.2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x14ac:dyDescent="0.2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81"/>
    </row>
    <row r="3217" spans="1:15" hidden="1" x14ac:dyDescent="0.2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2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2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2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2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2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2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2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2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2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2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2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2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2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2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2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2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2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2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2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2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2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2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2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2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2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2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2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2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2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2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2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2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2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2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2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2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2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2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2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2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2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2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2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2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2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2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2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2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2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2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x14ac:dyDescent="0.2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81"/>
    </row>
    <row r="3269" spans="1:15" hidden="1" x14ac:dyDescent="0.2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2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2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2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2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2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2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2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2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2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2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2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2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2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2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2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2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2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2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2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2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2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2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2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2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2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2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2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2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2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2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2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2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2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2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2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2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2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2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2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2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2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2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2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2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2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2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2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2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2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2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2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2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2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2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2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2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2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2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2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2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2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2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2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2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2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2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2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2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2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2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2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2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81"/>
    </row>
    <row r="3342" spans="1:15" x14ac:dyDescent="0.2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81"/>
    </row>
    <row r="3343" spans="1:15" x14ac:dyDescent="0.2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x14ac:dyDescent="0.2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2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2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2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2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2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2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2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2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2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2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2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2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2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2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2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2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2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2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2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2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2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2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2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2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2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2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2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2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2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2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2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2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2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2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2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2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2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2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2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2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2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2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2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2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2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2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2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2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2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2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2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2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2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2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2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2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2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2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2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2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2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2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2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2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2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2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2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2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2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2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x14ac:dyDescent="0.2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2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2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2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2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2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2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2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2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2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2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2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2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2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2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2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2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2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2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2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2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2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2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2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2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2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2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2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2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2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2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2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2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2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2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2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2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2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2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2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2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2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2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2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2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2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2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2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2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2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2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2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2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2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2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2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2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2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2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2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x14ac:dyDescent="0.2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2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2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2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2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2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2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2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2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2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2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2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2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2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2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2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2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2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2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2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2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2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2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2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2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2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2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2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2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2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2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2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2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2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2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2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2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2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2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2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2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2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2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2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2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2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2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2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2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x14ac:dyDescent="0.2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2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2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2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2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2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2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2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2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2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2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2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2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2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2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2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2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2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2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2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2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2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2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2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2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2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2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2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2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2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2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2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2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2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2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2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2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2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2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2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2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2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2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2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x14ac:dyDescent="0.2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2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2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2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2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2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2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2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x14ac:dyDescent="0.2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x14ac:dyDescent="0.2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2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2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2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2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2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2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2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x14ac:dyDescent="0.2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x14ac:dyDescent="0.2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x14ac:dyDescent="0.2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2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2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2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x14ac:dyDescent="0.2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x14ac:dyDescent="0.2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x14ac:dyDescent="0.2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x14ac:dyDescent="0.2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2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2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2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2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2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2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2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2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x14ac:dyDescent="0.2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2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2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2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2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2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2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2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2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x14ac:dyDescent="0.2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2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2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2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2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2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2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2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2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2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2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2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2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2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x14ac:dyDescent="0.2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2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2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2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2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2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2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2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2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2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2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2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2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2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2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2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2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2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2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2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2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x14ac:dyDescent="0.2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2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2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2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2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2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2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2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2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x14ac:dyDescent="0.2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x14ac:dyDescent="0.2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2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2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2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2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2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3</v>
      </c>
      <c r="L3662" s="78"/>
      <c r="M3662" s="80"/>
      <c r="N3662" s="325"/>
      <c r="O3662" s="81"/>
    </row>
    <row r="3663" spans="1:15" x14ac:dyDescent="0.2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81"/>
    </row>
    <row r="3664" spans="1:15" hidden="1" x14ac:dyDescent="0.2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2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2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2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2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2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2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2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x14ac:dyDescent="0.2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81"/>
    </row>
    <row r="3673" spans="1:15" x14ac:dyDescent="0.2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81"/>
    </row>
    <row r="3674" spans="1:15" x14ac:dyDescent="0.2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81"/>
    </row>
    <row r="3675" spans="1:15" x14ac:dyDescent="0.2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2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2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2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2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2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2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2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2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2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2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2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2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2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2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2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2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2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2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2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2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x14ac:dyDescent="0.2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x14ac:dyDescent="0.2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x14ac:dyDescent="0.2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2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2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2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2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2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2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2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2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2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2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x14ac:dyDescent="0.2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2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0</v>
      </c>
      <c r="L3710" s="78"/>
      <c r="M3710" s="80"/>
      <c r="N3710" s="325"/>
      <c r="O3710" s="81"/>
    </row>
    <row r="3711" spans="1:15" hidden="1" x14ac:dyDescent="0.2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2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2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x14ac:dyDescent="0.2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2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2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2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2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2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2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2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x14ac:dyDescent="0.2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x14ac:dyDescent="0.2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x14ac:dyDescent="0.2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x14ac:dyDescent="0.2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x14ac:dyDescent="0.2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x14ac:dyDescent="0.2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2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2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2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2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2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x14ac:dyDescent="0.2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2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2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2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2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2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2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2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2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2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2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2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2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2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2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2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2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2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2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2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2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2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2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2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2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2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2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2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2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2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2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2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2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2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2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2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2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2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2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2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2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x14ac:dyDescent="0.2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x14ac:dyDescent="0.2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x14ac:dyDescent="0.2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x14ac:dyDescent="0.2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x14ac:dyDescent="0.2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x14ac:dyDescent="0.2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x14ac:dyDescent="0.2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x14ac:dyDescent="0.2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2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2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2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2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x14ac:dyDescent="0.2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x14ac:dyDescent="0.2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x14ac:dyDescent="0.2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x14ac:dyDescent="0.2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x14ac:dyDescent="0.2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x14ac:dyDescent="0.2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x14ac:dyDescent="0.2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x14ac:dyDescent="0.2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x14ac:dyDescent="0.2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2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2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x14ac:dyDescent="0.2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2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x14ac:dyDescent="0.2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2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2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2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2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2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2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2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2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2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2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2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2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x14ac:dyDescent="0.2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2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2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2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2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2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2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2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2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2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2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2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2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2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2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2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2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2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2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2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2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2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2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x14ac:dyDescent="0.2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x14ac:dyDescent="0.2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x14ac:dyDescent="0.2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x14ac:dyDescent="0.2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x14ac:dyDescent="0.2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8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x14ac:dyDescent="0.2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x14ac:dyDescent="0.2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2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2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x14ac:dyDescent="0.2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2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2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2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2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2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2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2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2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2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2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2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2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x14ac:dyDescent="0.2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2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2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2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2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2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2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2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2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2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2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2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2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2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2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2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2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2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2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2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2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2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2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2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2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2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2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2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2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2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2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2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2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2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2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2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2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2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2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2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2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2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2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x14ac:dyDescent="0.2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2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2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x14ac:dyDescent="0.2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2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2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2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2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2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2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2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2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2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2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2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2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2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2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2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2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2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2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2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2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2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2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2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2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2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x14ac:dyDescent="0.2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x14ac:dyDescent="0.2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x14ac:dyDescent="0.2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x14ac:dyDescent="0.2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x14ac:dyDescent="0.2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x14ac:dyDescent="0.2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x14ac:dyDescent="0.2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x14ac:dyDescent="0.2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x14ac:dyDescent="0.2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2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2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2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2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2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2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x14ac:dyDescent="0.2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x14ac:dyDescent="0.2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x14ac:dyDescent="0.2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2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x14ac:dyDescent="0.2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2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2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2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x14ac:dyDescent="0.2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x14ac:dyDescent="0.2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x14ac:dyDescent="0.2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x14ac:dyDescent="0.2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x14ac:dyDescent="0.2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2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2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2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2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2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2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2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2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2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2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2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2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2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2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2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2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2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2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2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2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2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x14ac:dyDescent="0.2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x14ac:dyDescent="0.2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x14ac:dyDescent="0.2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x14ac:dyDescent="0.2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2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2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4</v>
      </c>
      <c r="L3983" s="78"/>
      <c r="M3983" s="80"/>
      <c r="N3983" s="325"/>
      <c r="O3983" s="81"/>
    </row>
    <row r="3984" spans="1:15" x14ac:dyDescent="0.2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x14ac:dyDescent="0.2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x14ac:dyDescent="0.2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2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2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2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2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x14ac:dyDescent="0.2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x14ac:dyDescent="0.2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x14ac:dyDescent="0.2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x14ac:dyDescent="0.2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2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x14ac:dyDescent="0.2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x14ac:dyDescent="0.2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x14ac:dyDescent="0.2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x14ac:dyDescent="0.2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2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x14ac:dyDescent="0.2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x14ac:dyDescent="0.2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x14ac:dyDescent="0.2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x14ac:dyDescent="0.2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x14ac:dyDescent="0.2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x14ac:dyDescent="0.2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x14ac:dyDescent="0.2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x14ac:dyDescent="0.2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x14ac:dyDescent="0.2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x14ac:dyDescent="0.2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x14ac:dyDescent="0.2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2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x14ac:dyDescent="0.2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2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2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2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2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x14ac:dyDescent="0.2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2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7</v>
      </c>
      <c r="L4019" s="78"/>
      <c r="M4019" s="80"/>
      <c r="N4019" s="325"/>
      <c r="O4019" s="81"/>
    </row>
    <row r="4020" spans="1:15" x14ac:dyDescent="0.2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x14ac:dyDescent="0.2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x14ac:dyDescent="0.2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x14ac:dyDescent="0.2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2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2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2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2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2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2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2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2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x14ac:dyDescent="0.2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2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x14ac:dyDescent="0.2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2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x14ac:dyDescent="0.2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2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x14ac:dyDescent="0.2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x14ac:dyDescent="0.2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x14ac:dyDescent="0.2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x14ac:dyDescent="0.2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2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40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x14ac:dyDescent="0.2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2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2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2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2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x14ac:dyDescent="0.2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2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2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2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2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x14ac:dyDescent="0.2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x14ac:dyDescent="0.2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x14ac:dyDescent="0.2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2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2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2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2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x14ac:dyDescent="0.2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x14ac:dyDescent="0.2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2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x14ac:dyDescent="0.2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2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2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2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2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2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2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2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2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2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2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2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2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2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2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2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2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2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2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2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2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2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x14ac:dyDescent="0.2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x14ac:dyDescent="0.2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x14ac:dyDescent="0.2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2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x14ac:dyDescent="0.2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x14ac:dyDescent="0.2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x14ac:dyDescent="0.2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x14ac:dyDescent="0.2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2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2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2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2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2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x14ac:dyDescent="0.2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81"/>
    </row>
    <row r="4099" spans="1:15" x14ac:dyDescent="0.2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81"/>
    </row>
    <row r="4100" spans="1:15" x14ac:dyDescent="0.2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81"/>
    </row>
    <row r="4101" spans="1:15" x14ac:dyDescent="0.2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81"/>
    </row>
    <row r="4102" spans="1:15" x14ac:dyDescent="0.2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2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x14ac:dyDescent="0.2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x14ac:dyDescent="0.2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2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x14ac:dyDescent="0.2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x14ac:dyDescent="0.2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x14ac:dyDescent="0.2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x14ac:dyDescent="0.2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2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x14ac:dyDescent="0.2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2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2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2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2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x14ac:dyDescent="0.2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x14ac:dyDescent="0.2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x14ac:dyDescent="0.2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x14ac:dyDescent="0.2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2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x14ac:dyDescent="0.2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x14ac:dyDescent="0.2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2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x14ac:dyDescent="0.2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x14ac:dyDescent="0.2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x14ac:dyDescent="0.2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2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x14ac:dyDescent="0.2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2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2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x14ac:dyDescent="0.2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2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2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2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2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x14ac:dyDescent="0.2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x14ac:dyDescent="0.2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x14ac:dyDescent="0.2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x14ac:dyDescent="0.2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2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2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2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2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x14ac:dyDescent="0.2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x14ac:dyDescent="0.2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x14ac:dyDescent="0.2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x14ac:dyDescent="0.2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x14ac:dyDescent="0.2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x14ac:dyDescent="0.2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x14ac:dyDescent="0.2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x14ac:dyDescent="0.2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x14ac:dyDescent="0.2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x14ac:dyDescent="0.2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x14ac:dyDescent="0.2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x14ac:dyDescent="0.2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x14ac:dyDescent="0.2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x14ac:dyDescent="0.2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2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2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x14ac:dyDescent="0.2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x14ac:dyDescent="0.2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x14ac:dyDescent="0.2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x14ac:dyDescent="0.2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x14ac:dyDescent="0.2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x14ac:dyDescent="0.2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x14ac:dyDescent="0.2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x14ac:dyDescent="0.2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x14ac:dyDescent="0.2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x14ac:dyDescent="0.2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2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2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x14ac:dyDescent="0.2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1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x14ac:dyDescent="0.2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x14ac:dyDescent="0.2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2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2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2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2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2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2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2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2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2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2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x14ac:dyDescent="0.2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x14ac:dyDescent="0.2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2928</v>
      </c>
      <c r="H41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x14ac:dyDescent="0.2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x14ac:dyDescent="0.2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x14ac:dyDescent="0.2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x14ac:dyDescent="0.2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2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2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2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2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2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2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x14ac:dyDescent="0.2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x14ac:dyDescent="0.2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x14ac:dyDescent="0.2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x14ac:dyDescent="0.2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x14ac:dyDescent="0.2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x14ac:dyDescent="0.2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x14ac:dyDescent="0.2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x14ac:dyDescent="0.2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x14ac:dyDescent="0.2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x14ac:dyDescent="0.2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x14ac:dyDescent="0.2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x14ac:dyDescent="0.2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x14ac:dyDescent="0.2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x14ac:dyDescent="0.2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2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2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2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2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2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2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2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2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2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2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2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2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2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2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2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2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2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2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2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x14ac:dyDescent="0.2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x14ac:dyDescent="0.2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x14ac:dyDescent="0.2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x14ac:dyDescent="0.2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x14ac:dyDescent="0.2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251"/>
    </row>
    <row r="4236" spans="1:15" x14ac:dyDescent="0.2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x14ac:dyDescent="0.2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2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2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5"/>
      <c r="O4239" s="81"/>
    </row>
    <row r="4240" spans="1:15" x14ac:dyDescent="0.2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x14ac:dyDescent="0.2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2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x14ac:dyDescent="0.25">
      <c r="A4243" s="249" t="s">
        <v>2725</v>
      </c>
      <c r="B4243" s="9" t="s">
        <v>2157</v>
      </c>
      <c r="C4243" s="76">
        <v>44735</v>
      </c>
      <c r="D4243" s="264"/>
      <c r="E4243" s="261" t="s">
        <v>2149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2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x14ac:dyDescent="0.2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x14ac:dyDescent="0.2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x14ac:dyDescent="0.2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2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x14ac:dyDescent="0.2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x14ac:dyDescent="0.2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x14ac:dyDescent="0.2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x14ac:dyDescent="0.2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2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x14ac:dyDescent="0.2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x14ac:dyDescent="0.2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2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2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2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x14ac:dyDescent="0.2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x14ac:dyDescent="0.2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2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x14ac:dyDescent="0.2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2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81"/>
    </row>
    <row r="4263" spans="1:15" x14ac:dyDescent="0.2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81"/>
    </row>
    <row r="4264" spans="1:15" x14ac:dyDescent="0.2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81"/>
    </row>
    <row r="4265" spans="1:15" x14ac:dyDescent="0.2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81"/>
    </row>
    <row r="4266" spans="1:15" x14ac:dyDescent="0.2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2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81"/>
    </row>
    <row r="4267" spans="1:15" x14ac:dyDescent="0.2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2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2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2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3</v>
      </c>
      <c r="L4270" s="78"/>
      <c r="M4270" s="80"/>
      <c r="N4270" s="325"/>
      <c r="O4270" s="81"/>
    </row>
    <row r="4271" spans="1:15" x14ac:dyDescent="0.2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x14ac:dyDescent="0.2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x14ac:dyDescent="0.2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81"/>
    </row>
    <row r="4274" spans="1:15" hidden="1" x14ac:dyDescent="0.2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2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2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2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x14ac:dyDescent="0.2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x14ac:dyDescent="0.2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x14ac:dyDescent="0.2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2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x14ac:dyDescent="0.2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2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2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x14ac:dyDescent="0.2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x14ac:dyDescent="0.2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x14ac:dyDescent="0.2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2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x14ac:dyDescent="0.2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x14ac:dyDescent="0.2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x14ac:dyDescent="0.2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2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x14ac:dyDescent="0.2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25">
      <c r="A4294" s="331"/>
      <c r="B4294" s="316"/>
      <c r="C4294" s="76"/>
      <c r="D4294" s="264"/>
      <c r="E4294" s="332"/>
      <c r="F4294" s="77"/>
      <c r="G4294" s="88"/>
      <c r="H4294" s="91"/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25">
      <c r="A4295" s="188"/>
      <c r="B4295" s="316"/>
      <c r="C4295" s="76"/>
      <c r="D4295" s="264"/>
      <c r="E4295" s="189"/>
      <c r="F4295" s="77"/>
      <c r="G4295" s="78"/>
      <c r="H4295" s="78"/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x14ac:dyDescent="0.25">
      <c r="A4296" s="188"/>
      <c r="B4296" s="316"/>
      <c r="C4296" s="76"/>
      <c r="D4296" s="264"/>
      <c r="E4296" s="189"/>
      <c r="F4296" s="77"/>
      <c r="G4296" s="78"/>
      <c r="H4296" s="78"/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x14ac:dyDescent="0.25">
      <c r="A4297" s="188"/>
      <c r="B4297" s="316"/>
      <c r="C4297" s="76"/>
      <c r="D4297" s="264"/>
      <c r="E4297" s="189"/>
      <c r="F4297" s="77"/>
      <c r="G4297" s="78"/>
      <c r="H4297" s="78"/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25">
      <c r="A4298" s="188"/>
      <c r="B4298" s="316"/>
      <c r="C4298" s="76"/>
      <c r="D4298" s="264"/>
      <c r="E4298" s="189"/>
      <c r="F4298" s="77"/>
      <c r="G4298" s="78"/>
      <c r="H4298" s="78"/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x14ac:dyDescent="0.25">
      <c r="A4299" s="188"/>
      <c r="B4299" s="316"/>
      <c r="C4299" s="76"/>
      <c r="D4299" s="264"/>
      <c r="E4299" s="189"/>
      <c r="F4299" s="77"/>
      <c r="G4299" s="78"/>
      <c r="H4299" s="78"/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25">
      <c r="A4300" s="188"/>
      <c r="B4300" s="316"/>
      <c r="C4300" s="76"/>
      <c r="D4300" s="264"/>
      <c r="E4300" s="189"/>
      <c r="F4300" s="77"/>
      <c r="G4300" s="78"/>
      <c r="H4300" s="78"/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25">
      <c r="A4301" s="188"/>
      <c r="B4301" s="316"/>
      <c r="C4301" s="76"/>
      <c r="D4301" s="264"/>
      <c r="E4301" s="189"/>
      <c r="F4301" s="77"/>
      <c r="G4301" s="78"/>
      <c r="H4301" s="78"/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x14ac:dyDescent="0.25">
      <c r="A4302" s="188"/>
      <c r="B4302" s="316"/>
      <c r="C4302" s="76"/>
      <c r="D4302" s="264"/>
      <c r="E4302" s="189"/>
      <c r="F4302" s="77"/>
      <c r="G4302" s="78"/>
      <c r="H4302" s="78"/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x14ac:dyDescent="0.25">
      <c r="A4303" s="188"/>
      <c r="B4303" s="316"/>
      <c r="C4303" s="76"/>
      <c r="D4303" s="264"/>
      <c r="E4303" s="189"/>
      <c r="F4303" s="77"/>
      <c r="G4303" s="78"/>
      <c r="H4303" s="78"/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x14ac:dyDescent="0.25">
      <c r="A4304" s="188"/>
      <c r="B4304" s="316"/>
      <c r="C4304" s="76"/>
      <c r="D4304" s="264"/>
      <c r="E4304" s="189"/>
      <c r="F4304" s="77"/>
      <c r="G4304" s="78"/>
      <c r="H4304" s="78"/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x14ac:dyDescent="0.25">
      <c r="A4305" s="188"/>
      <c r="B4305" s="316"/>
      <c r="C4305" s="76"/>
      <c r="D4305" s="264"/>
      <c r="E4305" s="189"/>
      <c r="F4305" s="77"/>
      <c r="G4305" s="78"/>
      <c r="H4305" s="78"/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x14ac:dyDescent="0.25">
      <c r="A4306" s="188"/>
      <c r="B4306" s="189"/>
      <c r="C4306" s="76"/>
      <c r="D4306" s="264"/>
      <c r="E4306" s="189"/>
      <c r="F4306" s="77"/>
      <c r="G4306" s="78"/>
      <c r="H4306" s="78"/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25">
      <c r="A4307" s="188"/>
      <c r="B4307" s="189"/>
      <c r="C4307" s="76"/>
      <c r="D4307" s="264"/>
      <c r="E4307" s="189"/>
      <c r="F4307" s="77"/>
      <c r="G4307" s="78"/>
      <c r="H4307" s="78"/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25">
      <c r="A4308" s="188"/>
      <c r="B4308" s="316"/>
      <c r="C4308" s="76"/>
      <c r="D4308" s="264"/>
      <c r="E4308" s="189"/>
      <c r="F4308" s="77"/>
      <c r="G4308" s="78"/>
      <c r="H4308" s="78"/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25">
      <c r="A4309" s="188"/>
      <c r="B4309" s="316"/>
      <c r="C4309" s="76"/>
      <c r="D4309" s="264"/>
      <c r="E4309" s="189"/>
      <c r="F4309" s="77"/>
      <c r="G4309" s="78"/>
      <c r="H4309" s="78"/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25">
      <c r="A4310" s="188"/>
      <c r="B4310" s="316"/>
      <c r="C4310" s="76"/>
      <c r="D4310" s="264"/>
      <c r="E4310" s="189"/>
      <c r="F4310" s="77"/>
      <c r="G4310" s="78"/>
      <c r="H4310" s="78"/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25">
      <c r="A4311" s="188"/>
      <c r="B4311" s="316"/>
      <c r="C4311" s="76"/>
      <c r="D4311" s="264"/>
      <c r="E4311" s="189"/>
      <c r="F4311" s="77"/>
      <c r="G4311" s="78"/>
      <c r="H4311" s="78"/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25">
      <c r="A4312" s="188"/>
      <c r="B4312" s="316"/>
      <c r="C4312" s="76"/>
      <c r="D4312" s="264"/>
      <c r="E4312" s="189"/>
      <c r="F4312" s="77"/>
      <c r="G4312" s="78"/>
      <c r="H4312" s="78"/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25">
      <c r="A4313" s="188"/>
      <c r="B4313" s="316"/>
      <c r="C4313" s="76"/>
      <c r="D4313" s="264"/>
      <c r="E4313" s="189"/>
      <c r="F4313" s="77"/>
      <c r="G4313" s="78"/>
      <c r="H4313" s="78"/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25">
      <c r="A4314" s="188"/>
      <c r="B4314" s="316"/>
      <c r="C4314" s="76"/>
      <c r="D4314" s="264"/>
      <c r="E4314" s="189"/>
      <c r="F4314" s="77"/>
      <c r="G4314" s="78"/>
      <c r="H4314" s="78"/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2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2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2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2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x14ac:dyDescent="0.2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x14ac:dyDescent="0.2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x14ac:dyDescent="0.2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2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x14ac:dyDescent="0.2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x14ac:dyDescent="0.2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2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x14ac:dyDescent="0.2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x14ac:dyDescent="0.2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x14ac:dyDescent="0.2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2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x14ac:dyDescent="0.2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x14ac:dyDescent="0.2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x14ac:dyDescent="0.2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x14ac:dyDescent="0.2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x14ac:dyDescent="0.2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x14ac:dyDescent="0.2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x14ac:dyDescent="0.2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x14ac:dyDescent="0.2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x14ac:dyDescent="0.2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x14ac:dyDescent="0.2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x14ac:dyDescent="0.2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x14ac:dyDescent="0.2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x14ac:dyDescent="0.2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x14ac:dyDescent="0.2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x14ac:dyDescent="0.2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x14ac:dyDescent="0.2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x14ac:dyDescent="0.2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x14ac:dyDescent="0.2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x14ac:dyDescent="0.2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x14ac:dyDescent="0.2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x14ac:dyDescent="0.2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x14ac:dyDescent="0.2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x14ac:dyDescent="0.2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x14ac:dyDescent="0.2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x14ac:dyDescent="0.2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x14ac:dyDescent="0.2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x14ac:dyDescent="0.2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x14ac:dyDescent="0.2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x14ac:dyDescent="0.2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x14ac:dyDescent="0.2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x14ac:dyDescent="0.2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x14ac:dyDescent="0.2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x14ac:dyDescent="0.2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x14ac:dyDescent="0.2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x14ac:dyDescent="0.2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x14ac:dyDescent="0.2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x14ac:dyDescent="0.2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x14ac:dyDescent="0.2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x14ac:dyDescent="0.2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x14ac:dyDescent="0.2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x14ac:dyDescent="0.2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x14ac:dyDescent="0.2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x14ac:dyDescent="0.2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x14ac:dyDescent="0.2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x14ac:dyDescent="0.2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x14ac:dyDescent="0.2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x14ac:dyDescent="0.2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x14ac:dyDescent="0.2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x14ac:dyDescent="0.2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x14ac:dyDescent="0.2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x14ac:dyDescent="0.2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x14ac:dyDescent="0.2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x14ac:dyDescent="0.2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x14ac:dyDescent="0.2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x14ac:dyDescent="0.2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x14ac:dyDescent="0.2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x14ac:dyDescent="0.2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x14ac:dyDescent="0.2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x14ac:dyDescent="0.2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x14ac:dyDescent="0.2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x14ac:dyDescent="0.2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x14ac:dyDescent="0.2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x14ac:dyDescent="0.2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x14ac:dyDescent="0.2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x14ac:dyDescent="0.2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x14ac:dyDescent="0.2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x14ac:dyDescent="0.2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x14ac:dyDescent="0.2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x14ac:dyDescent="0.2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x14ac:dyDescent="0.2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x14ac:dyDescent="0.2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x14ac:dyDescent="0.2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x14ac:dyDescent="0.2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x14ac:dyDescent="0.2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x14ac:dyDescent="0.2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x14ac:dyDescent="0.2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x14ac:dyDescent="0.2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x14ac:dyDescent="0.2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x14ac:dyDescent="0.2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x14ac:dyDescent="0.2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x14ac:dyDescent="0.2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x14ac:dyDescent="0.2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x14ac:dyDescent="0.2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x14ac:dyDescent="0.2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x14ac:dyDescent="0.2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x14ac:dyDescent="0.2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x14ac:dyDescent="0.2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x14ac:dyDescent="0.2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x14ac:dyDescent="0.2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x14ac:dyDescent="0.2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x14ac:dyDescent="0.2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x14ac:dyDescent="0.2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x14ac:dyDescent="0.2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x14ac:dyDescent="0.2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x14ac:dyDescent="0.2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x14ac:dyDescent="0.2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x14ac:dyDescent="0.2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x14ac:dyDescent="0.2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x14ac:dyDescent="0.2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x14ac:dyDescent="0.2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x14ac:dyDescent="0.2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x14ac:dyDescent="0.2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x14ac:dyDescent="0.2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x14ac:dyDescent="0.2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x14ac:dyDescent="0.2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x14ac:dyDescent="0.2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x14ac:dyDescent="0.2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x14ac:dyDescent="0.2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x14ac:dyDescent="0.2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x14ac:dyDescent="0.2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x14ac:dyDescent="0.2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x14ac:dyDescent="0.2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x14ac:dyDescent="0.2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x14ac:dyDescent="0.2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x14ac:dyDescent="0.2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x14ac:dyDescent="0.2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x14ac:dyDescent="0.2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x14ac:dyDescent="0.2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x14ac:dyDescent="0.2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x14ac:dyDescent="0.2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x14ac:dyDescent="0.2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x14ac:dyDescent="0.2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x14ac:dyDescent="0.2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x14ac:dyDescent="0.2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x14ac:dyDescent="0.2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x14ac:dyDescent="0.2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x14ac:dyDescent="0.2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x14ac:dyDescent="0.2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x14ac:dyDescent="0.2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x14ac:dyDescent="0.2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x14ac:dyDescent="0.2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x14ac:dyDescent="0.2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x14ac:dyDescent="0.2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x14ac:dyDescent="0.2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x14ac:dyDescent="0.2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x14ac:dyDescent="0.2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x14ac:dyDescent="0.2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x14ac:dyDescent="0.2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x14ac:dyDescent="0.2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x14ac:dyDescent="0.2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x14ac:dyDescent="0.2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x14ac:dyDescent="0.2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x14ac:dyDescent="0.2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x14ac:dyDescent="0.2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x14ac:dyDescent="0.2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x14ac:dyDescent="0.2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x14ac:dyDescent="0.2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x14ac:dyDescent="0.2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x14ac:dyDescent="0.2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x14ac:dyDescent="0.2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x14ac:dyDescent="0.2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x14ac:dyDescent="0.2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x14ac:dyDescent="0.2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x14ac:dyDescent="0.2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x14ac:dyDescent="0.2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x14ac:dyDescent="0.2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x14ac:dyDescent="0.2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x14ac:dyDescent="0.2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x14ac:dyDescent="0.2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x14ac:dyDescent="0.2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x14ac:dyDescent="0.2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x14ac:dyDescent="0.2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x14ac:dyDescent="0.2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x14ac:dyDescent="0.2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x14ac:dyDescent="0.2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x14ac:dyDescent="0.2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x14ac:dyDescent="0.2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x14ac:dyDescent="0.2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x14ac:dyDescent="0.2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x14ac:dyDescent="0.2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x14ac:dyDescent="0.2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x14ac:dyDescent="0.2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x14ac:dyDescent="0.2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x14ac:dyDescent="0.2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x14ac:dyDescent="0.2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x14ac:dyDescent="0.2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x14ac:dyDescent="0.2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x14ac:dyDescent="0.2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x14ac:dyDescent="0.2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x14ac:dyDescent="0.2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x14ac:dyDescent="0.2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x14ac:dyDescent="0.2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x14ac:dyDescent="0.2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x14ac:dyDescent="0.2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x14ac:dyDescent="0.2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x14ac:dyDescent="0.2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x14ac:dyDescent="0.2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x14ac:dyDescent="0.2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x14ac:dyDescent="0.2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x14ac:dyDescent="0.2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x14ac:dyDescent="0.2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x14ac:dyDescent="0.2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x14ac:dyDescent="0.2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x14ac:dyDescent="0.2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x14ac:dyDescent="0.2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x14ac:dyDescent="0.2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x14ac:dyDescent="0.2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x14ac:dyDescent="0.2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x14ac:dyDescent="0.2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x14ac:dyDescent="0.2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x14ac:dyDescent="0.2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x14ac:dyDescent="0.2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x14ac:dyDescent="0.2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x14ac:dyDescent="0.2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x14ac:dyDescent="0.2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x14ac:dyDescent="0.2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x14ac:dyDescent="0.2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x14ac:dyDescent="0.2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x14ac:dyDescent="0.2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x14ac:dyDescent="0.2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x14ac:dyDescent="0.2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x14ac:dyDescent="0.2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x14ac:dyDescent="0.2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x14ac:dyDescent="0.2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x14ac:dyDescent="0.2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x14ac:dyDescent="0.2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x14ac:dyDescent="0.2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x14ac:dyDescent="0.2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x14ac:dyDescent="0.2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x14ac:dyDescent="0.2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x14ac:dyDescent="0.2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x14ac:dyDescent="0.2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x14ac:dyDescent="0.2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x14ac:dyDescent="0.2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x14ac:dyDescent="0.2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x14ac:dyDescent="0.2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x14ac:dyDescent="0.2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x14ac:dyDescent="0.2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x14ac:dyDescent="0.2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x14ac:dyDescent="0.2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x14ac:dyDescent="0.2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x14ac:dyDescent="0.2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x14ac:dyDescent="0.2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x14ac:dyDescent="0.2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x14ac:dyDescent="0.2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x14ac:dyDescent="0.2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x14ac:dyDescent="0.2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x14ac:dyDescent="0.2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x14ac:dyDescent="0.2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x14ac:dyDescent="0.2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x14ac:dyDescent="0.2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x14ac:dyDescent="0.2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x14ac:dyDescent="0.2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x14ac:dyDescent="0.2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x14ac:dyDescent="0.2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x14ac:dyDescent="0.2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x14ac:dyDescent="0.2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x14ac:dyDescent="0.2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x14ac:dyDescent="0.2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x14ac:dyDescent="0.2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x14ac:dyDescent="0.2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x14ac:dyDescent="0.2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x14ac:dyDescent="0.2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x14ac:dyDescent="0.2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x14ac:dyDescent="0.2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x14ac:dyDescent="0.2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x14ac:dyDescent="0.2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x14ac:dyDescent="0.2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x14ac:dyDescent="0.2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x14ac:dyDescent="0.2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x14ac:dyDescent="0.2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x14ac:dyDescent="0.2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x14ac:dyDescent="0.2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x14ac:dyDescent="0.2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x14ac:dyDescent="0.2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x14ac:dyDescent="0.2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x14ac:dyDescent="0.2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x14ac:dyDescent="0.2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x14ac:dyDescent="0.2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x14ac:dyDescent="0.2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x14ac:dyDescent="0.2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x14ac:dyDescent="0.2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x14ac:dyDescent="0.2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x14ac:dyDescent="0.2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x14ac:dyDescent="0.2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x14ac:dyDescent="0.2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x14ac:dyDescent="0.2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x14ac:dyDescent="0.2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x14ac:dyDescent="0.2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x14ac:dyDescent="0.2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x14ac:dyDescent="0.2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x14ac:dyDescent="0.2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x14ac:dyDescent="0.2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x14ac:dyDescent="0.2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x14ac:dyDescent="0.2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x14ac:dyDescent="0.2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x14ac:dyDescent="0.2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x14ac:dyDescent="0.2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x14ac:dyDescent="0.2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x14ac:dyDescent="0.2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x14ac:dyDescent="0.2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x14ac:dyDescent="0.2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x14ac:dyDescent="0.2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x14ac:dyDescent="0.2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x14ac:dyDescent="0.2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x14ac:dyDescent="0.2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x14ac:dyDescent="0.2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x14ac:dyDescent="0.2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x14ac:dyDescent="0.2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x14ac:dyDescent="0.2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x14ac:dyDescent="0.2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x14ac:dyDescent="0.2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x14ac:dyDescent="0.2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x14ac:dyDescent="0.2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9" type="noConversion"/>
  <hyperlinks>
    <hyperlink ref="O4437" r:id="rId1" display="Wo@da Trái tim" xr:uid="{00000000-0004-0000-0100-000000000000}"/>
    <hyperlink ref="B4645" r:id="rId2" display="Wo@da LK-301" xr:uid="{00000000-0004-0000-0100-000001000000}"/>
    <hyperlink ref="B4654" r:id="rId3" display="Wo@da LK-403" xr:uid="{00000000-0004-0000-0100-000002000000}"/>
    <hyperlink ref="B4638" r:id="rId4" display="Wo@da LK-401" xr:uid="{00000000-0004-0000-0100-000003000000}"/>
    <hyperlink ref="B4640" r:id="rId5" display="Wo@da LK-801" xr:uid="{00000000-0004-0000-0100-000004000000}"/>
    <hyperlink ref="B4662" r:id="rId6" display="Wo@da NC Bamboo" xr:uid="{00000000-0004-0000-0100-000005000000}"/>
    <hyperlink ref="B4663" r:id="rId7" display="Wo@da NC Bamboo" xr:uid="{00000000-0004-0000-0100-000006000000}"/>
    <hyperlink ref="B4828" r:id="rId8" display="Wo@da LK-401" xr:uid="{00000000-0004-0000-0100-000007000000}"/>
    <hyperlink ref="B4831" r:id="rId9" display="Wo@da LK-204" xr:uid="{00000000-0004-0000-0100-000008000000}"/>
    <hyperlink ref="O4435" r:id="rId10" display="Wo@da Trái tim" xr:uid="{00000000-0004-0000-0100-000009000000}"/>
    <hyperlink ref="B4643" r:id="rId11" display="mailto:Wo@da%20LK-301" xr:uid="{00000000-0004-0000-0100-00000A000000}"/>
    <hyperlink ref="B4652" r:id="rId12" display="mailto:Wo@da%20LK-403" xr:uid="{00000000-0004-0000-0100-00000B000000}"/>
    <hyperlink ref="B4636" r:id="rId13" display="mailto:Wo@da%20LK-401" xr:uid="{00000000-0004-0000-0100-00000C000000}"/>
    <hyperlink ref="B4638" r:id="rId14" display="mailto:Wo@da%20LK-801" xr:uid="{00000000-0004-0000-0100-00000D000000}"/>
    <hyperlink ref="B4660" r:id="rId15" display="mailto:Wo@da%20NC%20Bamboo" xr:uid="{00000000-0004-0000-0100-00000E000000}"/>
    <hyperlink ref="B4661" r:id="rId16" display="mailto:Wo@da%20NC%20Bamboo" xr:uid="{00000000-0004-0000-0100-00000F000000}"/>
    <hyperlink ref="B4826" r:id="rId17" display="Wo@da LK-401" xr:uid="{00000000-0004-0000-0100-000010000000}"/>
    <hyperlink ref="B4829" r:id="rId18" display="Wo@da LK-204" xr:uid="{00000000-0004-0000-0100-000011000000}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306" t="s">
        <v>7</v>
      </c>
      <c r="B1" s="9" t="s">
        <v>2471</v>
      </c>
    </row>
    <row r="3" spans="1:17" x14ac:dyDescent="0.2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2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2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2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2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2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2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2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2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2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2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2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2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2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2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2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2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2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2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2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2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2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2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2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2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2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2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2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2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2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2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2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2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2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2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2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2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2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2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2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2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2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2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2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2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2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2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2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2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2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2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2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2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2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2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2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2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2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25">
      <c r="A61" s="48" t="s">
        <v>2468</v>
      </c>
      <c r="B61" s="100">
        <v>67296</v>
      </c>
      <c r="C61" s="100">
        <v>1995</v>
      </c>
    </row>
  </sheetData>
  <phoneticPr fontId="19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5708"/>
  <sheetViews>
    <sheetView topLeftCell="A5664" zoomScaleNormal="100" workbookViewId="0">
      <selection activeCell="C5685" sqref="C5685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2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2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2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2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2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2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2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2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2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2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2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2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2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2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2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2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2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2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2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2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2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2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2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2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2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2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2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2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2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2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2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2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2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2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2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2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2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2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2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2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2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2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2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2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2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2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2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2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2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2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2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2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2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2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2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2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2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2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2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2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2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2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2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2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2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2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2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2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2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2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2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2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2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2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2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2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2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2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2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2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2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2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2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2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2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2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2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2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2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2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2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2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2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2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2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2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2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2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2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2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2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2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2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2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2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2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2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2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2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2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2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2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2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2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2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2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2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2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2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2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2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2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2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2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2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2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2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2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2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2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2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2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2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2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2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2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2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2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2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2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2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2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2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2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2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2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2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2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2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2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2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2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2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2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2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2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2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2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2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2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2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2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2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2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2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2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2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2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2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2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2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2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2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2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2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2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2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2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2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2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2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2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2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2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2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2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2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2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2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2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2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2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2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2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2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2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2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2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2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2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2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2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2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2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2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2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2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2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2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2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2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2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2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2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2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2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2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2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2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2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2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2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2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2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2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2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2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2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2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2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2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2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2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2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2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2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2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2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2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2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2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2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2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2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2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2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2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2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2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2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2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2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2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2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2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2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2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2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2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2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2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2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2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2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2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2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2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2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2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2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2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2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2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2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2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2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2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2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2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2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2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2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2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2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2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2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2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2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2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2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2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2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2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2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2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2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2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2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2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2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2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2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2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2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2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2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2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2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2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2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2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2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2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2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2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2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2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2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2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2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2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2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2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2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2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2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2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2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2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2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2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2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2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2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2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2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2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2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2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2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2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2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2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2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2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2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2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2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2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2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2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2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2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2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2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2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2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2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2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2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2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2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2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2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2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2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2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2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2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2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2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2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2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2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2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2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2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2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2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2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2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2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2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2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2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2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2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2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2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2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2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2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2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2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2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2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2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2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2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2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2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2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2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2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2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2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2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2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2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2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2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2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2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2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2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2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2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2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2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2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2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2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2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2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2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2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2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2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2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2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2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2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2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2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2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2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2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2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2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2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2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2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2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2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2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2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2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2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2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2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2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2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2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2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2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2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2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2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2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2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2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2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2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2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2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2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2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2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2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2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2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2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2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2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2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2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2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2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2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2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2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2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2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2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2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2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2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2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2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2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2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2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2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2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2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2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2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2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2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2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2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2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2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2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2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2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2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2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2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2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2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2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2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2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2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2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2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2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2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2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2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2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2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2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2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2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2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2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2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2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2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2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2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2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2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2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2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2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2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2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2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2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2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2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2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2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2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2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2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2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2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2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2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2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2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2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2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2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2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2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2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2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2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2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2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2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2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2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2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2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2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2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2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2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2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2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2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2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2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2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2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2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2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2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2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2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2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2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2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2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2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2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2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2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2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2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2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2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2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2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2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2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2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2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2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2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2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2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2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2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2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2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2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2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2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2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2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2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2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2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2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2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2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2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2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2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2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2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2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2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2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2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2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2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2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2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2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2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2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2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2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2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2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2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2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2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2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2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2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2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2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2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2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2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2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2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2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2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2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2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2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2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2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2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2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2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2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2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2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2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2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2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2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2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2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2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2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2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2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2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2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2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2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2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2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2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2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2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2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2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2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2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2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2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2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2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2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2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2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2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2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2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2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2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2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2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2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2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2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2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2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2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2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2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2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2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2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2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2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2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2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2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2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2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2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2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2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2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2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2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2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2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2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2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2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2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2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2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2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2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2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2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2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2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2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2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2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2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2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2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2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2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2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2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2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2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2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2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2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2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2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2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2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2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2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2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2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2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2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2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2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2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2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2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2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2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2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2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2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2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2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2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2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2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2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2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2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2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2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2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2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2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2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2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2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2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2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2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2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2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2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2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2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2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2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2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2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2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2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2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2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2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2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2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2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2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2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2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2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2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2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2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2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2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2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2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2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2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2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2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2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2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2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2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2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2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2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2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2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2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2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2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2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2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2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2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2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2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2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2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2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2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2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2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2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2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2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2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2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2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2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2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2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2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2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2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2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2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2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2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2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2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2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2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2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2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2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2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2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2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2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2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2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2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2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2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2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2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2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2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2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2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2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2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2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2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2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2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2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2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2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2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2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2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2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2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2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2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2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2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2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2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2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2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2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2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2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2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2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2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2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2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2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2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2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2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2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2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2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2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2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2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2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2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2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2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2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2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2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2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2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2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2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2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2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2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2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2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2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2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2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2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2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2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2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2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2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2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2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2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2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2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2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2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2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2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2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2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2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2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2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2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2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2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2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2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2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2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2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2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2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2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2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2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2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2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2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2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2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2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2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2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2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2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2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2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2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2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2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2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2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2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2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2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2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2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2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2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2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2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2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2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2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2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2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2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2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2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2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2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2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2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2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2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2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2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2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2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2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2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2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2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2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2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2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2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2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2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2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2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2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2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2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2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2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2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2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2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2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2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2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2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2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2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2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2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2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2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2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2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2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2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2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2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2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2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2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2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2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2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2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2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2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2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2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2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2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2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2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2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2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2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2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2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2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2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2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2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2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2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2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2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2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2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2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2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2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2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2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2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2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2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2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2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2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2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2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2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2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2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2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2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2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2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2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2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2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2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2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2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2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2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2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2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2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2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2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2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2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2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2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2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2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2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2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2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2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2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2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2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2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2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2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2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2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2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2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2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2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2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2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2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2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2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2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2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2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2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2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2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2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2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2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2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2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2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2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2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2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2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2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2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2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2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2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2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2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2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2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2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2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2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2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2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2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2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2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2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2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2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2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2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2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2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2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2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2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2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2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2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2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2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2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2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2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2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2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2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2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2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2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2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2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2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2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2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2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2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2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2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2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2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2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2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2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2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2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2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2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2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2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2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2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2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2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2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2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2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2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2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2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2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2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2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2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2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2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2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2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2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2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2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2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2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2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2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2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2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2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2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2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2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2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2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2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2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2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2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2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2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2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2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2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2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2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2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2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2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2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2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2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2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2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2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2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2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2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2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2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2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2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2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2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2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2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2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2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2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2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2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2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2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2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2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2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2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2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2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2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2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2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2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2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2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2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2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2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2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2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2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2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2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2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2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2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2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2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2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2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2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2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2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2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2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2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2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2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2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2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2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2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2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2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2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2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2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2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2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2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2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2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2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2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2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2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2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2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2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2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2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2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2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2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2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2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2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2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2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2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2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2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2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2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2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2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2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2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2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2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2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2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2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2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2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2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2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2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2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2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2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2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2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2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2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2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2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2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2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2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2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2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2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2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2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2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2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2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2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2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2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2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2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2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2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2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2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2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2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2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2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2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2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2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2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2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2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2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2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2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2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2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2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2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2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2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2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2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2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2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2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2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2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2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2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2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2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2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2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2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2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2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2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2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2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2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2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2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2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2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2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2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2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2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2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2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2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2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2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2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2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2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2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2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2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2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2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2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2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2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2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2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2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2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2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2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2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2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2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2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2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2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2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2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2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2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2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2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2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2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2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2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2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2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2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2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2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2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2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2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2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2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2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2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2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2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2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2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2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2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2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2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2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2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2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2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2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2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2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2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2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2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2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2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2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2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2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2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2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2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2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2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2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2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2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2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2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2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2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2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2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2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2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2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2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2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2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2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2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2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2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2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2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2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2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2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2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2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2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2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2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2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2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2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2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2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2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2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2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2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2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2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2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2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2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2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2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2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2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2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2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2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2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2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2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2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2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2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2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2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2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2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2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2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2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2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2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2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2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2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2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2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2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2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2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2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2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2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2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2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2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2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2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2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2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2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2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2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2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2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2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2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2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2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2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2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2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2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2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2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2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2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2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2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2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2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2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2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2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2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2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2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2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2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2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2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2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2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2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2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2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2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2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2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2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2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2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2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2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2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2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2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2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2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2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2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2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2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2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2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2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2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2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2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2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2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2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2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2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2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2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2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2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2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2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2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2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2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2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2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2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2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2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2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2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2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2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2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2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2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2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2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2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2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2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2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2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2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2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2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2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2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2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2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2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2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2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2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2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2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2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2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2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2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2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2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2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2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2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2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2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2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2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2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2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2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2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2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2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2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2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2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2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2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2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2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2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2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2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2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2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2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2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2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2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2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2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2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2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2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2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2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2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2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2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2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2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2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2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2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2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2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2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2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2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2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2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2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2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2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2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2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2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2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2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2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2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2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2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2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2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2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2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2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2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2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2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2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2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2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2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2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2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2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2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2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2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2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2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2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2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2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2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2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2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2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2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2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2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2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2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2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2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2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2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2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2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2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2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2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2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2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2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2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2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2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2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2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2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2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2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2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2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2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2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2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2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2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2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2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2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2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2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2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2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2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2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2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2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2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2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2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2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2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2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2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2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2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2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2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2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2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2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2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2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2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2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2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2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2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2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2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2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2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2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2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2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2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2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2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2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2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2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2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2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2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2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2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2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2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2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2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2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2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2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2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2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2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2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2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2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2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2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2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2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2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2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2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2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2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2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2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2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2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2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2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2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2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2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2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2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2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2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2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2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2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2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2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2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2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2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2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2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2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2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2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2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2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2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2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2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2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2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2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2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2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2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2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2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2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2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2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2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2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2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2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2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2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2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2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2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2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2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2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2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2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2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2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2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2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2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2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2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2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2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2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2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2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2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2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2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2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2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2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2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2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2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2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2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2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2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2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2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2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2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2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2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2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2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2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2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2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2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2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2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2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2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2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2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2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2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2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2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2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2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2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2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2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2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2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2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2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2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2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2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2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2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2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2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2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2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2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2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2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2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2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2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2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2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2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2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2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2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2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2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2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2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2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2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2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2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2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2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2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2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2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2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2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2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2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2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2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2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2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2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2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2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2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2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2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2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2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2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2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2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2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2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2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2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2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2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2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2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2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2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2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2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2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2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2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2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2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2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2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2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2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2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2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2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2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2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2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2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2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2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2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2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2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2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2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2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2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2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2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2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2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2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2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2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2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2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2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2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2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2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2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2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2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2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2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2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2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2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2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2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2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2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2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2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2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2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2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2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2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2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2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2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2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2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2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2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2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2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2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2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2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2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2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2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2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2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2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2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2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2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2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2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2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2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2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2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2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2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2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2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2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2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2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2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2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2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2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2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2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2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2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2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2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2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2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2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2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2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2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2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2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2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2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2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2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2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2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2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2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2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2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2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2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2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2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2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2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2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2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2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2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2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2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2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2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2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2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2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2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2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2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2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2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2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2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2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2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2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2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2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2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2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2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2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2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2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2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2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2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2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2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2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2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2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2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2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2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2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2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2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2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2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2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2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2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2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2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2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2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2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2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2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2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2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2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2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2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2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2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2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2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2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2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2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2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2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2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2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2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2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2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2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2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2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2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2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2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2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2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2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2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2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2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2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2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2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2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2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2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2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2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2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2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2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2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2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2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2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2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2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2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2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2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2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2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2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2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2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2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2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2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2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2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2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2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2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2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2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2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2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2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2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2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2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2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2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2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2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2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2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2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2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2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2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2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2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2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2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2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2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2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2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2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2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2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2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2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2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2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2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2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2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2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2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2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2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2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2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2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2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2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2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2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2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2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2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2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2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2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2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2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2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2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2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2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2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2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2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2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2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2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2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2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2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2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2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2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2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2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2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2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2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2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2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2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2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2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2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2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2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2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2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2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2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2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2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2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2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2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2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2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2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2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2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2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2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2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2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2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2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2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2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2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2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2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2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2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2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2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2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2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2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2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2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2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2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2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2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2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2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2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2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2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2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2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2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2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2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2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2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2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2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2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2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2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2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2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2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2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2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2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2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2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2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2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2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2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2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2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2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2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2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2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2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2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2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2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2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2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2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2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2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2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2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2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2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2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2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2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2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2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2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2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2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2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2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2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2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2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2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2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2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2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2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2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2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2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2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2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2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2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2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2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2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2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2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2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2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2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2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2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2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2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2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2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2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2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2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2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2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2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2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2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2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2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2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2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2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2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2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2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2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2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2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2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2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2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2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2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2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2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2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2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2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2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2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2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2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2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2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2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2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2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2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2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2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2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2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2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2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2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2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2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2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2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2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2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2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2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2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2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2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2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2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2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2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2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2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2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2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2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2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2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2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2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2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2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2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2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2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2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2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2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2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2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2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2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2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2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2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2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2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2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2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2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2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2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2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2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2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2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2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2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2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2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2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2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2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2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2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2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2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2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2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2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2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2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2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2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2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2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2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2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2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2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2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2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2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2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2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2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2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2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2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2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2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2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2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2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2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2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2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2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2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2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2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2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2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2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2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2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2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2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2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2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2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2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2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2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2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2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2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2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2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2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2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2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2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2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2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2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2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2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2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2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2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2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2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2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2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2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2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2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2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2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2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2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2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2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2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2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2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2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2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2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2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2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2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2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2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2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2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2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2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2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2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2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2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2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2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2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2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2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2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2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2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2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2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2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2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2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2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2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2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2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2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2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2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2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2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2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2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2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2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2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2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2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2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2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2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2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2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2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2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2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2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2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2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2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2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2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2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2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2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2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2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2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2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2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2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2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2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2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2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2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2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2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2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2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2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2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2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2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2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2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2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2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2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2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2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2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2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2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2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2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2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2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2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2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2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2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2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2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2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2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2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2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2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2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2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2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2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2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2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2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2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2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2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2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2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2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2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2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2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2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2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2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2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2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2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2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2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2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2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2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2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2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2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2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2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2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2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2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2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2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2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2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2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2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2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2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2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2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2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2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2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2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2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2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2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2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2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2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2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2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2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2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2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2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2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2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2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2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2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2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2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2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2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2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2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2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2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2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2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2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2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2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2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2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2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2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2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2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2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2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2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2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2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2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2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2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2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2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2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2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2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2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2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2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2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2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2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2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2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2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2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2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2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2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2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2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2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2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2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2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2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2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2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2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2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2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2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2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2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2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2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2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2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2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2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2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2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2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2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2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2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2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2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2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2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2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2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2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2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2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2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2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2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2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2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2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2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2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2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2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2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2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2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2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2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2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2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2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2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2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2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2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2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2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2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2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2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2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2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2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2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2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2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2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2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2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2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2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2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2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2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2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2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2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2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2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2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2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2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2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2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2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2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2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2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2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2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2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2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2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2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25">
      <c r="A5619" s="9" t="s">
        <v>16</v>
      </c>
      <c r="B5619" s="261" t="s">
        <v>1070</v>
      </c>
      <c r="C5619" s="9" t="s">
        <v>18</v>
      </c>
      <c r="D5619" s="9"/>
      <c r="E5619" s="10">
        <v>44710</v>
      </c>
      <c r="F5619" s="100">
        <f t="shared" ref="F5619:F5650" si="91">SUM(J5619:L5619)</f>
        <v>288</v>
      </c>
      <c r="G5619" s="100">
        <f>SUM(Table3[[#This Row],[Kim Dệt Ngày]:[Kim Khác Đêm]])</f>
        <v>0</v>
      </c>
      <c r="H5619" s="10">
        <v>44743</v>
      </c>
      <c r="I5619" s="10"/>
      <c r="J5619" s="9">
        <f>24+60+60+24</f>
        <v>168</v>
      </c>
      <c r="K5619" s="9"/>
      <c r="L5619" s="9">
        <f>72+48</f>
        <v>120</v>
      </c>
      <c r="M5619" s="11"/>
      <c r="N5619" s="11"/>
      <c r="O5619" s="9"/>
      <c r="P5619" s="9"/>
      <c r="Q5619" s="9"/>
    </row>
    <row r="5620" spans="1:17" hidden="1" x14ac:dyDescent="0.2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x14ac:dyDescent="0.2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 t="shared" si="91"/>
        <v>228</v>
      </c>
      <c r="G5621" s="100">
        <f>SUM(Table3[[#This Row],[Kim Dệt Ngày]:[Kim Khác Đêm]])</f>
        <v>0</v>
      </c>
      <c r="H5621" s="10">
        <v>44744</v>
      </c>
      <c r="I5621" s="10"/>
      <c r="J5621" s="9">
        <f>36+60+48</f>
        <v>144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2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25">
      <c r="A5623" s="9" t="s">
        <v>21</v>
      </c>
      <c r="B5623" s="9" t="s">
        <v>1421</v>
      </c>
      <c r="C5623" s="9" t="s">
        <v>39</v>
      </c>
      <c r="D5623" s="9"/>
      <c r="E5623" s="10">
        <v>44742</v>
      </c>
      <c r="F5623" s="100">
        <f t="shared" si="91"/>
        <v>312</v>
      </c>
      <c r="G5623" s="100">
        <f>SUM(Table3[[#This Row],[Kim Dệt Ngày]:[Kim Khác Đêm]])</f>
        <v>0</v>
      </c>
      <c r="H5623" s="10">
        <v>44743</v>
      </c>
      <c r="I5623" s="10"/>
      <c r="J5623" s="9">
        <f>60+48+60+36</f>
        <v>204</v>
      </c>
      <c r="K5623" s="9"/>
      <c r="L5623" s="9">
        <f>48+60</f>
        <v>108</v>
      </c>
      <c r="M5623" s="11"/>
      <c r="N5623" s="11"/>
      <c r="O5623" s="9"/>
      <c r="P5623" s="9"/>
      <c r="Q5623" s="9"/>
    </row>
    <row r="5624" spans="1:17" x14ac:dyDescent="0.25">
      <c r="A5624" s="9" t="s">
        <v>23</v>
      </c>
      <c r="B5624" s="9" t="s">
        <v>1421</v>
      </c>
      <c r="C5624" s="9" t="s">
        <v>28</v>
      </c>
      <c r="D5624" s="9"/>
      <c r="E5624" s="10">
        <v>44742</v>
      </c>
      <c r="F5624" s="100">
        <f t="shared" si="91"/>
        <v>312</v>
      </c>
      <c r="G5624" s="100">
        <f>SUM(Table3[[#This Row],[Kim Dệt Ngày]:[Kim Khác Đêm]])</f>
        <v>0</v>
      </c>
      <c r="H5624" s="10">
        <v>44743</v>
      </c>
      <c r="I5624" s="10"/>
      <c r="J5624" s="9">
        <f>12+12+60+84</f>
        <v>168</v>
      </c>
      <c r="K5624" s="9"/>
      <c r="L5624" s="9">
        <f>84+60</f>
        <v>144</v>
      </c>
      <c r="M5624" s="11"/>
      <c r="N5624" s="11"/>
      <c r="O5624" s="9"/>
      <c r="P5624" s="9"/>
      <c r="Q5624" s="9"/>
    </row>
    <row r="5625" spans="1:17" x14ac:dyDescent="0.25">
      <c r="A5625" s="9" t="s">
        <v>26</v>
      </c>
      <c r="B5625" s="9" t="s">
        <v>1198</v>
      </c>
      <c r="C5625" s="9" t="s">
        <v>25</v>
      </c>
      <c r="D5625" s="9"/>
      <c r="E5625" s="10">
        <v>44733</v>
      </c>
      <c r="F5625" s="100">
        <f t="shared" si="91"/>
        <v>360</v>
      </c>
      <c r="G5625" s="100">
        <f>SUM(Table3[[#This Row],[Kim Dệt Ngày]:[Kim Khác Đêm]])</f>
        <v>3</v>
      </c>
      <c r="H5625" s="10">
        <v>44743</v>
      </c>
      <c r="I5625" s="10"/>
      <c r="J5625" s="9">
        <f>60+60+48+36</f>
        <v>204</v>
      </c>
      <c r="K5625" s="9"/>
      <c r="L5625" s="9">
        <f>84+72</f>
        <v>156</v>
      </c>
      <c r="M5625" s="11"/>
      <c r="N5625" s="11">
        <f>3</f>
        <v>3</v>
      </c>
      <c r="O5625" s="9"/>
      <c r="P5625" s="9"/>
      <c r="Q5625" s="9"/>
    </row>
    <row r="5626" spans="1:17" x14ac:dyDescent="0.2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468</v>
      </c>
      <c r="G5626" s="100">
        <f>SUM(Table3[[#This Row],[Kim Dệt Ngày]:[Kim Khác Đêm]])</f>
        <v>0</v>
      </c>
      <c r="H5626" s="10">
        <v>44743</v>
      </c>
      <c r="I5626" s="10"/>
      <c r="J5626" s="9">
        <f>72+84+60+72</f>
        <v>288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25">
      <c r="A5627" s="9" t="s">
        <v>31</v>
      </c>
      <c r="B5627" s="9" t="s">
        <v>1113</v>
      </c>
      <c r="C5627" s="9" t="s">
        <v>28</v>
      </c>
      <c r="D5627" s="9"/>
      <c r="E5627" s="10">
        <v>44738</v>
      </c>
      <c r="F5627" s="100">
        <f t="shared" si="91"/>
        <v>300</v>
      </c>
      <c r="G5627" s="100">
        <f>SUM(Table3[[#This Row],[Kim Dệt Ngày]:[Kim Khác Đêm]])</f>
        <v>0</v>
      </c>
      <c r="H5627" s="10">
        <v>44743</v>
      </c>
      <c r="I5627" s="10"/>
      <c r="J5627" s="9">
        <f>48+36+60+72</f>
        <v>216</v>
      </c>
      <c r="K5627" s="9"/>
      <c r="L5627" s="9">
        <f>24+60</f>
        <v>84</v>
      </c>
      <c r="M5627" s="11"/>
      <c r="N5627" s="11"/>
      <c r="O5627" s="9"/>
      <c r="P5627" s="9"/>
      <c r="Q5627" s="9"/>
    </row>
    <row r="5628" spans="1:17" x14ac:dyDescent="0.25">
      <c r="A5628" s="9" t="s">
        <v>33</v>
      </c>
      <c r="B5628" s="9" t="s">
        <v>2605</v>
      </c>
      <c r="C5628" s="9" t="s">
        <v>39</v>
      </c>
      <c r="D5628" s="9"/>
      <c r="E5628" s="10">
        <v>44741</v>
      </c>
      <c r="F5628" s="100">
        <f t="shared" si="91"/>
        <v>468</v>
      </c>
      <c r="G5628" s="100">
        <f>SUM(Table3[[#This Row],[Kim Dệt Ngày]:[Kim Khác Đêm]])</f>
        <v>1</v>
      </c>
      <c r="H5628" s="10">
        <v>44743</v>
      </c>
      <c r="I5628" s="10"/>
      <c r="J5628" s="9">
        <f>72+84+60+72</f>
        <v>288</v>
      </c>
      <c r="K5628" s="9"/>
      <c r="L5628" s="9">
        <f>84+96</f>
        <v>180</v>
      </c>
      <c r="M5628" s="11">
        <f>1</f>
        <v>1</v>
      </c>
      <c r="N5628" s="11"/>
      <c r="O5628" s="9"/>
      <c r="P5628" s="9"/>
      <c r="Q5628" s="9"/>
    </row>
    <row r="5629" spans="1:17" x14ac:dyDescent="0.25">
      <c r="A5629" s="9" t="s">
        <v>35</v>
      </c>
      <c r="B5629" s="9" t="s">
        <v>2605</v>
      </c>
      <c r="C5629" s="9" t="s">
        <v>28</v>
      </c>
      <c r="D5629" s="9"/>
      <c r="E5629" s="10">
        <v>44741</v>
      </c>
      <c r="F5629" s="100">
        <f t="shared" si="91"/>
        <v>492</v>
      </c>
      <c r="G5629" s="100">
        <f>SUM(Table3[[#This Row],[Kim Dệt Ngày]:[Kim Khác Đêm]])</f>
        <v>2</v>
      </c>
      <c r="H5629" s="10">
        <v>44743</v>
      </c>
      <c r="I5629" s="10"/>
      <c r="J5629" s="9">
        <f>72+72+60+96</f>
        <v>300</v>
      </c>
      <c r="K5629" s="9"/>
      <c r="L5629" s="9">
        <f>84+108</f>
        <v>192</v>
      </c>
      <c r="M5629" s="11">
        <f>2</f>
        <v>2</v>
      </c>
      <c r="N5629" s="11"/>
      <c r="O5629" s="9"/>
      <c r="P5629" s="9"/>
      <c r="Q5629" s="9"/>
    </row>
    <row r="5630" spans="1:17" x14ac:dyDescent="0.25">
      <c r="A5630" s="9" t="s">
        <v>37</v>
      </c>
      <c r="B5630" s="9" t="s">
        <v>30</v>
      </c>
      <c r="C5630" s="9" t="s">
        <v>18</v>
      </c>
      <c r="D5630" s="9"/>
      <c r="E5630" s="10">
        <v>44738</v>
      </c>
      <c r="F5630" s="100">
        <f t="shared" si="91"/>
        <v>60</v>
      </c>
      <c r="G5630" s="100">
        <f>SUM(Table3[[#This Row],[Kim Dệt Ngày]:[Kim Khác Đêm]])</f>
        <v>98</v>
      </c>
      <c r="H5630" s="10">
        <v>44743</v>
      </c>
      <c r="I5630" s="10"/>
      <c r="J5630" s="9">
        <f>36+24</f>
        <v>60</v>
      </c>
      <c r="K5630" s="9"/>
      <c r="L5630" s="9"/>
      <c r="M5630" s="11">
        <f>98</f>
        <v>98</v>
      </c>
      <c r="N5630" s="11"/>
      <c r="O5630" s="9"/>
      <c r="P5630" s="9"/>
      <c r="Q5630" s="9"/>
    </row>
    <row r="5631" spans="1:17" x14ac:dyDescent="0.2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 t="shared" si="91"/>
        <v>432</v>
      </c>
      <c r="G5631" s="100">
        <f>SUM(Table3[[#This Row],[Kim Dệt Ngày]:[Kim Khác Đêm]])</f>
        <v>0</v>
      </c>
      <c r="H5631" s="10">
        <v>44743</v>
      </c>
      <c r="I5631" s="10"/>
      <c r="J5631" s="9">
        <f>60+60+60+72</f>
        <v>252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25">
      <c r="A5632" s="9" t="s">
        <v>40</v>
      </c>
      <c r="B5632" s="9" t="s">
        <v>1601</v>
      </c>
      <c r="C5632" s="9" t="s">
        <v>25</v>
      </c>
      <c r="D5632" s="9"/>
      <c r="E5632" s="10">
        <v>44741</v>
      </c>
      <c r="F5632" s="100">
        <f t="shared" si="91"/>
        <v>348</v>
      </c>
      <c r="G5632" s="100">
        <f>SUM(Table3[[#This Row],[Kim Dệt Ngày]:[Kim Khác Đêm]])</f>
        <v>7</v>
      </c>
      <c r="H5632" s="10">
        <v>44743</v>
      </c>
      <c r="I5632" s="10"/>
      <c r="J5632" s="9">
        <f>36+60+60+48</f>
        <v>204</v>
      </c>
      <c r="K5632" s="9"/>
      <c r="L5632" s="9">
        <f>72+72</f>
        <v>144</v>
      </c>
      <c r="M5632" s="11">
        <f>7</f>
        <v>7</v>
      </c>
      <c r="N5632" s="11"/>
      <c r="O5632" s="9"/>
      <c r="P5632" s="9"/>
      <c r="Q5632" s="9"/>
    </row>
    <row r="5633" spans="1:17" x14ac:dyDescent="0.25">
      <c r="A5633" s="9" t="s">
        <v>42</v>
      </c>
      <c r="B5633" s="322" t="s">
        <v>1071</v>
      </c>
      <c r="C5633" s="9" t="s">
        <v>18</v>
      </c>
      <c r="D5633" s="9"/>
      <c r="E5633" s="10">
        <v>44710</v>
      </c>
      <c r="F5633" s="100">
        <f t="shared" si="91"/>
        <v>0</v>
      </c>
      <c r="G5633" s="100">
        <f>SUM(Table3[[#This Row],[Kim Dệt Ngày]:[Kim Khác Đêm]])</f>
        <v>0</v>
      </c>
      <c r="H5633" s="10">
        <v>44743</v>
      </c>
      <c r="I5633" s="10"/>
      <c r="J5633" s="9"/>
      <c r="K5633" s="9"/>
      <c r="L5633" s="9"/>
      <c r="M5633" s="11"/>
      <c r="N5633" s="11"/>
      <c r="O5633" s="9"/>
      <c r="P5633" s="9"/>
      <c r="Q5633" s="9"/>
    </row>
    <row r="5634" spans="1:17" x14ac:dyDescent="0.25">
      <c r="A5634" s="9" t="s">
        <v>43</v>
      </c>
      <c r="B5634" s="9" t="s">
        <v>582</v>
      </c>
      <c r="C5634" s="9" t="s">
        <v>28</v>
      </c>
      <c r="D5634" s="9"/>
      <c r="E5634" s="10">
        <v>44742</v>
      </c>
      <c r="F5634" s="100">
        <f t="shared" si="91"/>
        <v>540</v>
      </c>
      <c r="G5634" s="100">
        <f>SUM(Table3[[#This Row],[Kim Dệt Ngày]:[Kim Khác Đêm]])</f>
        <v>0</v>
      </c>
      <c r="H5634" s="10">
        <v>44743</v>
      </c>
      <c r="I5634" s="10"/>
      <c r="J5634" s="9">
        <f>60+84+84+72</f>
        <v>300</v>
      </c>
      <c r="K5634" s="9"/>
      <c r="L5634" s="9">
        <f>84+96+60</f>
        <v>240</v>
      </c>
      <c r="M5634" s="11"/>
      <c r="N5634" s="11"/>
      <c r="O5634" s="9"/>
      <c r="P5634" s="9"/>
      <c r="Q5634" s="9"/>
    </row>
    <row r="5635" spans="1:17" x14ac:dyDescent="0.25">
      <c r="A5635" s="9" t="s">
        <v>44</v>
      </c>
      <c r="B5635" s="9" t="s">
        <v>2081</v>
      </c>
      <c r="C5635" s="9" t="s">
        <v>28</v>
      </c>
      <c r="D5635" s="9"/>
      <c r="E5635" s="10">
        <v>44741</v>
      </c>
      <c r="F5635" s="100">
        <f t="shared" si="91"/>
        <v>288</v>
      </c>
      <c r="G5635" s="100">
        <f>SUM(Table3[[#This Row],[Kim Dệt Ngày]:[Kim Khác Đêm]])</f>
        <v>0</v>
      </c>
      <c r="H5635" s="10">
        <v>44743</v>
      </c>
      <c r="I5635" s="10"/>
      <c r="J5635" s="9">
        <f>48+48+48+48</f>
        <v>192</v>
      </c>
      <c r="K5635" s="9"/>
      <c r="L5635" s="9">
        <f>60+36</f>
        <v>96</v>
      </c>
      <c r="M5635" s="11"/>
      <c r="N5635" s="11"/>
      <c r="O5635" s="9"/>
      <c r="P5635" s="9"/>
      <c r="Q5635" s="9"/>
    </row>
    <row r="5636" spans="1:17" x14ac:dyDescent="0.25">
      <c r="A5636" s="9" t="s">
        <v>45</v>
      </c>
      <c r="B5636" s="9" t="s">
        <v>2081</v>
      </c>
      <c r="C5636" s="9" t="s">
        <v>28</v>
      </c>
      <c r="D5636" s="9"/>
      <c r="E5636" s="10">
        <v>44741</v>
      </c>
      <c r="F5636" s="100">
        <f t="shared" si="91"/>
        <v>408</v>
      </c>
      <c r="G5636" s="100">
        <f>SUM(Table3[[#This Row],[Kim Dệt Ngày]:[Kim Khác Đêm]])</f>
        <v>0</v>
      </c>
      <c r="H5636" s="10">
        <v>44743</v>
      </c>
      <c r="I5636" s="10"/>
      <c r="J5636" s="9">
        <f>60+60+60+60</f>
        <v>240</v>
      </c>
      <c r="K5636" s="9"/>
      <c r="L5636" s="9">
        <f>60+72+36</f>
        <v>168</v>
      </c>
      <c r="M5636" s="11"/>
      <c r="N5636" s="11"/>
      <c r="O5636" s="9"/>
      <c r="P5636" s="9"/>
      <c r="Q5636" s="9"/>
    </row>
    <row r="5637" spans="1:17" x14ac:dyDescent="0.25">
      <c r="A5637" s="9" t="s">
        <v>46</v>
      </c>
      <c r="B5637" s="9" t="s">
        <v>772</v>
      </c>
      <c r="C5637" s="9" t="s">
        <v>28</v>
      </c>
      <c r="D5637" s="9"/>
      <c r="E5637" s="10">
        <v>44739</v>
      </c>
      <c r="F5637" s="100">
        <f t="shared" si="91"/>
        <v>492</v>
      </c>
      <c r="G5637" s="100">
        <f>SUM(Table3[[#This Row],[Kim Dệt Ngày]:[Kim Khác Đêm]])</f>
        <v>1</v>
      </c>
      <c r="H5637" s="10">
        <v>44743</v>
      </c>
      <c r="I5637" s="10"/>
      <c r="J5637" s="9">
        <f>72+72+60+60</f>
        <v>264</v>
      </c>
      <c r="K5637" s="9"/>
      <c r="L5637" s="9">
        <f>96+84+48</f>
        <v>228</v>
      </c>
      <c r="M5637" s="11">
        <f>1</f>
        <v>1</v>
      </c>
      <c r="N5637" s="11"/>
      <c r="O5637" s="9"/>
      <c r="P5637" s="9"/>
      <c r="Q5637" s="9"/>
    </row>
    <row r="5638" spans="1:17" x14ac:dyDescent="0.25">
      <c r="A5638" s="9" t="s">
        <v>48</v>
      </c>
      <c r="B5638" s="9" t="s">
        <v>2081</v>
      </c>
      <c r="C5638" s="9" t="s">
        <v>28</v>
      </c>
      <c r="D5638" s="9"/>
      <c r="E5638" s="10">
        <v>44741</v>
      </c>
      <c r="F5638" s="100">
        <f t="shared" si="91"/>
        <v>240</v>
      </c>
      <c r="G5638" s="100">
        <f>SUM(Table3[[#This Row],[Kim Dệt Ngày]:[Kim Khác Đêm]])</f>
        <v>2</v>
      </c>
      <c r="H5638" s="10">
        <v>44743</v>
      </c>
      <c r="I5638" s="10"/>
      <c r="J5638" s="9">
        <f>36+36+36+48</f>
        <v>156</v>
      </c>
      <c r="K5638" s="9"/>
      <c r="L5638" s="9">
        <f>36+48</f>
        <v>84</v>
      </c>
      <c r="M5638" s="11">
        <f>2</f>
        <v>2</v>
      </c>
      <c r="N5638" s="11"/>
      <c r="O5638" s="9"/>
      <c r="P5638" s="9"/>
      <c r="Q5638" s="9"/>
    </row>
    <row r="5639" spans="1:17" x14ac:dyDescent="0.2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 t="shared" si="91"/>
        <v>180</v>
      </c>
      <c r="G5639" s="100">
        <f>SUM(Table3[[#This Row],[Kim Dệt Ngày]:[Kim Khác Đêm]])</f>
        <v>0</v>
      </c>
      <c r="H5639" s="10">
        <v>44743</v>
      </c>
      <c r="I5639" s="10"/>
      <c r="J5639" s="9">
        <f>36+36+36</f>
        <v>108</v>
      </c>
      <c r="K5639" s="9"/>
      <c r="L5639" s="9">
        <f>48+24</f>
        <v>72</v>
      </c>
      <c r="M5639" s="11"/>
      <c r="N5639" s="11"/>
      <c r="O5639" s="9"/>
      <c r="P5639" s="9"/>
      <c r="Q5639" s="9"/>
    </row>
    <row r="5640" spans="1:17" hidden="1" x14ac:dyDescent="0.2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 t="shared" si="91"/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2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 t="shared" si="91"/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 t="shared" si="91"/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25">
      <c r="A5643" s="9" t="s">
        <v>51</v>
      </c>
      <c r="B5643" s="9" t="s">
        <v>1510</v>
      </c>
      <c r="C5643" s="9" t="s">
        <v>25</v>
      </c>
      <c r="D5643" s="9"/>
      <c r="E5643" s="10">
        <v>44721</v>
      </c>
      <c r="F5643" s="100">
        <f t="shared" si="91"/>
        <v>120</v>
      </c>
      <c r="G5643" s="100">
        <f>SUM(Table3[[#This Row],[Kim Dệt Ngày]:[Kim Khác Đêm]])</f>
        <v>0</v>
      </c>
      <c r="H5643" s="10">
        <v>44746</v>
      </c>
      <c r="I5643" s="10"/>
      <c r="J5643" s="9">
        <f>24+48</f>
        <v>72</v>
      </c>
      <c r="K5643" s="9"/>
      <c r="L5643" s="9">
        <f>48</f>
        <v>48</v>
      </c>
      <c r="M5643" s="11"/>
      <c r="N5643" s="11"/>
      <c r="O5643" s="9"/>
      <c r="P5643" s="9"/>
      <c r="Q5643" s="9"/>
    </row>
    <row r="5644" spans="1:17" x14ac:dyDescent="0.25">
      <c r="A5644" s="9" t="s">
        <v>53</v>
      </c>
      <c r="B5644" s="9" t="s">
        <v>1332</v>
      </c>
      <c r="C5644" s="9" t="s">
        <v>18</v>
      </c>
      <c r="D5644" s="9"/>
      <c r="E5644" s="10">
        <v>44735</v>
      </c>
      <c r="F5644" s="100">
        <f t="shared" si="91"/>
        <v>156</v>
      </c>
      <c r="G5644" s="100">
        <f>SUM(Table3[[#This Row],[Kim Dệt Ngày]:[Kim Khác Đêm]])</f>
        <v>0</v>
      </c>
      <c r="H5644" s="10">
        <v>44744</v>
      </c>
      <c r="I5644" s="10"/>
      <c r="J5644" s="9">
        <f>36+24+24</f>
        <v>84</v>
      </c>
      <c r="K5644" s="9"/>
      <c r="L5644" s="9">
        <f>48+24</f>
        <v>72</v>
      </c>
      <c r="M5644" s="11"/>
      <c r="N5644" s="11"/>
      <c r="O5644" s="9"/>
      <c r="P5644" s="9"/>
      <c r="Q5644" s="9"/>
    </row>
    <row r="5645" spans="1:17" x14ac:dyDescent="0.25">
      <c r="A5645" s="9" t="s">
        <v>55</v>
      </c>
      <c r="B5645" s="9" t="s">
        <v>1332</v>
      </c>
      <c r="C5645" s="9" t="s">
        <v>25</v>
      </c>
      <c r="D5645" s="9"/>
      <c r="E5645" s="10">
        <v>44735</v>
      </c>
      <c r="F5645" s="100">
        <f t="shared" si="91"/>
        <v>108</v>
      </c>
      <c r="G5645" s="100">
        <f>SUM(Table3[[#This Row],[Kim Dệt Ngày]:[Kim Khác Đêm]])</f>
        <v>0</v>
      </c>
      <c r="H5645" s="10">
        <v>44744</v>
      </c>
      <c r="I5645" s="10"/>
      <c r="J5645" s="9">
        <f>12+24+24</f>
        <v>60</v>
      </c>
      <c r="K5645" s="9"/>
      <c r="L5645" s="9">
        <f>24+24</f>
        <v>48</v>
      </c>
      <c r="M5645" s="11"/>
      <c r="N5645" s="11"/>
      <c r="O5645" s="9"/>
      <c r="P5645" s="9"/>
      <c r="Q5645" s="9"/>
    </row>
    <row r="5646" spans="1:17" x14ac:dyDescent="0.25">
      <c r="A5646" s="9" t="s">
        <v>56</v>
      </c>
      <c r="B5646" s="9" t="s">
        <v>2244</v>
      </c>
      <c r="C5646" s="9" t="s">
        <v>28</v>
      </c>
      <c r="D5646" s="9"/>
      <c r="E5646" s="10">
        <v>44741</v>
      </c>
      <c r="F5646" s="100">
        <f t="shared" si="91"/>
        <v>348</v>
      </c>
      <c r="G5646" s="100">
        <f>SUM(Table3[[#This Row],[Kim Dệt Ngày]:[Kim Khác Đêm]])</f>
        <v>0</v>
      </c>
      <c r="H5646" s="10">
        <v>44743</v>
      </c>
      <c r="I5646" s="10"/>
      <c r="J5646" s="9">
        <f>48+48+36+48</f>
        <v>180</v>
      </c>
      <c r="K5646" s="9"/>
      <c r="L5646" s="9">
        <f>60+72+36</f>
        <v>168</v>
      </c>
      <c r="M5646" s="11"/>
      <c r="N5646" s="11"/>
      <c r="O5646" s="9"/>
      <c r="P5646" s="9"/>
      <c r="Q5646" s="9"/>
    </row>
    <row r="5647" spans="1:17" x14ac:dyDescent="0.25">
      <c r="A5647" s="9" t="s">
        <v>57</v>
      </c>
      <c r="B5647" s="9" t="s">
        <v>2244</v>
      </c>
      <c r="C5647" s="9" t="s">
        <v>25</v>
      </c>
      <c r="D5647" s="9"/>
      <c r="E5647" s="10">
        <v>44741</v>
      </c>
      <c r="F5647" s="100">
        <f t="shared" si="91"/>
        <v>372</v>
      </c>
      <c r="G5647" s="100">
        <f>SUM(Table3[[#This Row],[Kim Dệt Ngày]:[Kim Khác Đêm]])</f>
        <v>0</v>
      </c>
      <c r="H5647" s="10">
        <v>44743</v>
      </c>
      <c r="I5647" s="10"/>
      <c r="J5647" s="9">
        <f>48+48+48+60</f>
        <v>204</v>
      </c>
      <c r="K5647" s="9"/>
      <c r="L5647" s="9">
        <f>72+60+36</f>
        <v>168</v>
      </c>
      <c r="M5647" s="11"/>
      <c r="N5647" s="11"/>
      <c r="O5647" s="9"/>
      <c r="P5647" s="9"/>
      <c r="Q5647" s="9"/>
    </row>
    <row r="5648" spans="1:17" x14ac:dyDescent="0.25">
      <c r="A5648" s="9" t="s">
        <v>58</v>
      </c>
      <c r="B5648" s="9" t="s">
        <v>30</v>
      </c>
      <c r="C5648" s="9" t="s">
        <v>25</v>
      </c>
      <c r="D5648" s="9"/>
      <c r="E5648" s="10">
        <v>44738</v>
      </c>
      <c r="F5648" s="100">
        <f t="shared" si="91"/>
        <v>324</v>
      </c>
      <c r="G5648" s="100">
        <f>SUM(Table3[[#This Row],[Kim Dệt Ngày]:[Kim Khác Đêm]])</f>
        <v>0</v>
      </c>
      <c r="H5648" s="10">
        <v>44743</v>
      </c>
      <c r="I5648" s="10"/>
      <c r="J5648" s="9">
        <f>48+48+36+48</f>
        <v>180</v>
      </c>
      <c r="K5648" s="9"/>
      <c r="L5648" s="9">
        <f>60+60+24</f>
        <v>144</v>
      </c>
      <c r="M5648" s="11"/>
      <c r="N5648" s="11"/>
      <c r="O5648" s="9"/>
      <c r="P5648" s="9"/>
      <c r="Q5648" s="9"/>
    </row>
    <row r="5649" spans="1:17" x14ac:dyDescent="0.25">
      <c r="A5649" s="9" t="s">
        <v>60</v>
      </c>
      <c r="B5649" s="9" t="s">
        <v>2244</v>
      </c>
      <c r="C5649" s="9" t="s">
        <v>18</v>
      </c>
      <c r="D5649" s="9"/>
      <c r="E5649" s="10">
        <v>44741</v>
      </c>
      <c r="F5649" s="100">
        <f t="shared" si="91"/>
        <v>300</v>
      </c>
      <c r="G5649" s="100">
        <f>SUM(Table3[[#This Row],[Kim Dệt Ngày]:[Kim Khác Đêm]])</f>
        <v>0</v>
      </c>
      <c r="H5649" s="10">
        <v>44743</v>
      </c>
      <c r="I5649" s="10"/>
      <c r="J5649" s="9">
        <f>36+48+48+48</f>
        <v>180</v>
      </c>
      <c r="K5649" s="9"/>
      <c r="L5649" s="9">
        <f>60+60</f>
        <v>120</v>
      </c>
      <c r="M5649" s="11"/>
      <c r="N5649" s="11"/>
      <c r="O5649" s="9"/>
      <c r="P5649" s="9"/>
      <c r="Q5649" s="9"/>
    </row>
    <row r="5650" spans="1:17" hidden="1" x14ac:dyDescent="0.2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 t="shared" si="91"/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25">
      <c r="A5651" s="9" t="s">
        <v>61</v>
      </c>
      <c r="B5651" s="9" t="s">
        <v>2298</v>
      </c>
      <c r="C5651" s="9" t="s">
        <v>135</v>
      </c>
      <c r="D5651" s="9"/>
      <c r="E5651" s="10">
        <v>44736</v>
      </c>
      <c r="F5651" s="100">
        <f t="shared" ref="F5651:F5682" si="92">SUM(J5651:L5651)</f>
        <v>0</v>
      </c>
      <c r="G5651" s="100">
        <f>SUM(Table3[[#This Row],[Kim Dệt Ngày]:[Kim Khác Đêm]])</f>
        <v>0</v>
      </c>
      <c r="H5651" s="10">
        <v>44743</v>
      </c>
      <c r="I5651" s="10"/>
      <c r="J5651" s="9"/>
      <c r="K5651" s="9"/>
      <c r="L5651" s="9"/>
      <c r="M5651" s="11"/>
      <c r="N5651" s="11"/>
      <c r="O5651" s="9"/>
      <c r="P5651" s="9"/>
      <c r="Q5651" s="9"/>
    </row>
    <row r="5652" spans="1:17" x14ac:dyDescent="0.2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 t="shared" si="92"/>
        <v>168</v>
      </c>
      <c r="G5652" s="100">
        <f>SUM(Table3[[#This Row],[Kim Dệt Ngày]:[Kim Khác Đêm]])</f>
        <v>0</v>
      </c>
      <c r="H5652" s="10">
        <v>44743</v>
      </c>
      <c r="I5652" s="10"/>
      <c r="J5652" s="9">
        <f>24+12+48+36</f>
        <v>120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x14ac:dyDescent="0.25">
      <c r="A5653" s="9" t="s">
        <v>65</v>
      </c>
      <c r="B5653" s="9" t="s">
        <v>1146</v>
      </c>
      <c r="C5653" s="9" t="s">
        <v>28</v>
      </c>
      <c r="D5653" s="9"/>
      <c r="E5653" s="10">
        <v>44716</v>
      </c>
      <c r="F5653" s="100">
        <f t="shared" si="92"/>
        <v>420</v>
      </c>
      <c r="G5653" s="100">
        <f>SUM(Table3[[#This Row],[Kim Dệt Ngày]:[Kim Khác Đêm]])</f>
        <v>0</v>
      </c>
      <c r="H5653" s="10">
        <v>44743</v>
      </c>
      <c r="I5653" s="10"/>
      <c r="J5653" s="9">
        <f>60+72+72+60</f>
        <v>264</v>
      </c>
      <c r="K5653" s="9"/>
      <c r="L5653" s="9">
        <f>84+72</f>
        <v>156</v>
      </c>
      <c r="M5653" s="11"/>
      <c r="N5653" s="11"/>
      <c r="O5653" s="9"/>
      <c r="P5653" s="9"/>
      <c r="Q5653" s="9"/>
    </row>
    <row r="5654" spans="1:17" x14ac:dyDescent="0.25">
      <c r="A5654" s="9" t="s">
        <v>66</v>
      </c>
      <c r="B5654" s="9" t="s">
        <v>2298</v>
      </c>
      <c r="C5654" s="9" t="s">
        <v>79</v>
      </c>
      <c r="D5654" s="9"/>
      <c r="E5654" s="10">
        <v>44736</v>
      </c>
      <c r="F5654" s="100">
        <f t="shared" si="92"/>
        <v>168</v>
      </c>
      <c r="G5654" s="100">
        <f>SUM(Table3[[#This Row],[Kim Dệt Ngày]:[Kim Khác Đêm]])</f>
        <v>0</v>
      </c>
      <c r="H5654" s="10">
        <v>44743</v>
      </c>
      <c r="I5654" s="10"/>
      <c r="J5654" s="9">
        <f>36+36+24+36</f>
        <v>132</v>
      </c>
      <c r="K5654" s="9"/>
      <c r="L5654" s="9">
        <f>36</f>
        <v>36</v>
      </c>
      <c r="M5654" s="11"/>
      <c r="N5654" s="11"/>
      <c r="O5654" s="9"/>
      <c r="P5654" s="9"/>
      <c r="Q5654" s="9"/>
    </row>
    <row r="5655" spans="1:17" hidden="1" x14ac:dyDescent="0.2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 t="shared" si="92"/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2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 t="shared" si="92"/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x14ac:dyDescent="0.25">
      <c r="A5657" s="9" t="s">
        <v>68</v>
      </c>
      <c r="B5657" s="9" t="s">
        <v>1166</v>
      </c>
      <c r="C5657" s="9" t="s">
        <v>28</v>
      </c>
      <c r="D5657" s="9"/>
      <c r="E5657" s="10">
        <v>44741</v>
      </c>
      <c r="F5657" s="100">
        <f t="shared" si="92"/>
        <v>648</v>
      </c>
      <c r="G5657" s="100">
        <f>SUM(Table3[[#This Row],[Kim Dệt Ngày]:[Kim Khác Đêm]])</f>
        <v>0</v>
      </c>
      <c r="H5657" s="10">
        <v>44743</v>
      </c>
      <c r="I5657" s="10"/>
      <c r="J5657" s="9">
        <f>60+60+72+60</f>
        <v>252</v>
      </c>
      <c r="K5657" s="9"/>
      <c r="L5657" s="9">
        <f>96+108+72+120</f>
        <v>396</v>
      </c>
      <c r="M5657" s="11"/>
      <c r="N5657" s="11"/>
      <c r="O5657" s="9"/>
      <c r="P5657" s="9"/>
      <c r="Q5657" s="9"/>
    </row>
    <row r="5658" spans="1:17" x14ac:dyDescent="0.25">
      <c r="A5658" s="9" t="s">
        <v>70</v>
      </c>
      <c r="B5658" s="9" t="s">
        <v>1166</v>
      </c>
      <c r="C5658" s="9" t="s">
        <v>18</v>
      </c>
      <c r="D5658" s="9"/>
      <c r="E5658" s="10">
        <v>44741</v>
      </c>
      <c r="F5658" s="100">
        <f t="shared" si="92"/>
        <v>648</v>
      </c>
      <c r="G5658" s="100">
        <f>SUM(Table3[[#This Row],[Kim Dệt Ngày]:[Kim Khác Đêm]])</f>
        <v>0</v>
      </c>
      <c r="H5658" s="10">
        <v>44743</v>
      </c>
      <c r="I5658" s="10"/>
      <c r="J5658" s="9">
        <f>60+60+72+48</f>
        <v>240</v>
      </c>
      <c r="K5658" s="9"/>
      <c r="L5658" s="9">
        <f>108+108+96+96</f>
        <v>408</v>
      </c>
      <c r="M5658" s="11"/>
      <c r="N5658" s="11"/>
      <c r="O5658" s="9"/>
      <c r="P5658" s="9"/>
      <c r="Q5658" s="9"/>
    </row>
    <row r="5659" spans="1:17" x14ac:dyDescent="0.25">
      <c r="A5659" s="9" t="s">
        <v>71</v>
      </c>
      <c r="B5659" s="9" t="s">
        <v>238</v>
      </c>
      <c r="C5659" s="9" t="s">
        <v>28</v>
      </c>
      <c r="D5659" s="9"/>
      <c r="E5659" s="10">
        <v>44739</v>
      </c>
      <c r="F5659" s="100">
        <f t="shared" si="92"/>
        <v>816</v>
      </c>
      <c r="G5659" s="100">
        <f>SUM(Table3[[#This Row],[Kim Dệt Ngày]:[Kim Khác Đêm]])</f>
        <v>0</v>
      </c>
      <c r="H5659" s="10">
        <v>44743</v>
      </c>
      <c r="I5659" s="10"/>
      <c r="J5659" s="9">
        <f>72+84+72+84</f>
        <v>312</v>
      </c>
      <c r="K5659" s="9"/>
      <c r="L5659" s="9">
        <f>108+96+96+108+96</f>
        <v>504</v>
      </c>
      <c r="M5659" s="11"/>
      <c r="N5659" s="11"/>
      <c r="O5659" s="9"/>
      <c r="P5659" s="9"/>
      <c r="Q5659" s="9"/>
    </row>
    <row r="5660" spans="1:17" x14ac:dyDescent="0.25">
      <c r="A5660" s="9" t="s">
        <v>72</v>
      </c>
      <c r="B5660" s="9" t="s">
        <v>239</v>
      </c>
      <c r="C5660" s="9" t="s">
        <v>25</v>
      </c>
      <c r="D5660" s="9"/>
      <c r="E5660" s="10">
        <v>44718</v>
      </c>
      <c r="F5660" s="100">
        <f t="shared" si="92"/>
        <v>420</v>
      </c>
      <c r="G5660" s="100">
        <f>SUM(Table3[[#This Row],[Kim Dệt Ngày]:[Kim Khác Đêm]])</f>
        <v>0</v>
      </c>
      <c r="H5660" s="10">
        <v>44743</v>
      </c>
      <c r="I5660" s="10"/>
      <c r="J5660" s="9">
        <f>48+36+36+36</f>
        <v>156</v>
      </c>
      <c r="K5660" s="9"/>
      <c r="L5660" s="9">
        <f>48+60+48+60+48</f>
        <v>264</v>
      </c>
      <c r="M5660" s="11"/>
      <c r="N5660" s="11"/>
      <c r="O5660" s="9"/>
      <c r="P5660" s="9"/>
      <c r="Q5660" s="9"/>
    </row>
    <row r="5661" spans="1:17" x14ac:dyDescent="0.25">
      <c r="A5661" s="9" t="s">
        <v>74</v>
      </c>
      <c r="B5661" s="9" t="s">
        <v>1413</v>
      </c>
      <c r="C5661" s="9" t="s">
        <v>18</v>
      </c>
      <c r="D5661" s="9"/>
      <c r="E5661" s="10">
        <v>44649</v>
      </c>
      <c r="F5661" s="100">
        <f t="shared" si="92"/>
        <v>324</v>
      </c>
      <c r="G5661" s="100">
        <f>SUM(Table3[[#This Row],[Kim Dệt Ngày]:[Kim Khác Đêm]])</f>
        <v>0</v>
      </c>
      <c r="H5661" s="10">
        <v>44744</v>
      </c>
      <c r="I5661" s="10"/>
      <c r="J5661" s="9">
        <f>36+48+48</f>
        <v>132</v>
      </c>
      <c r="K5661" s="9"/>
      <c r="L5661" s="9">
        <f>48+36+60+48</f>
        <v>192</v>
      </c>
      <c r="M5661" s="11"/>
      <c r="N5661" s="11"/>
      <c r="O5661" s="9"/>
      <c r="P5661" s="9"/>
      <c r="Q5661" s="9"/>
    </row>
    <row r="5662" spans="1:17" x14ac:dyDescent="0.25">
      <c r="A5662" s="9" t="s">
        <v>76</v>
      </c>
      <c r="B5662" s="9" t="s">
        <v>1113</v>
      </c>
      <c r="C5662" s="9" t="s">
        <v>28</v>
      </c>
      <c r="D5662" s="9"/>
      <c r="E5662" s="10">
        <v>44738</v>
      </c>
      <c r="F5662" s="100">
        <f t="shared" si="92"/>
        <v>612</v>
      </c>
      <c r="G5662" s="100">
        <f>SUM(Table3[[#This Row],[Kim Dệt Ngày]:[Kim Khác Đêm]])</f>
        <v>0</v>
      </c>
      <c r="H5662" s="10">
        <v>44743</v>
      </c>
      <c r="I5662" s="10"/>
      <c r="J5662" s="9">
        <f>48+60+48+60</f>
        <v>216</v>
      </c>
      <c r="K5662" s="9"/>
      <c r="L5662" s="9">
        <f>84+84+72+84+72</f>
        <v>396</v>
      </c>
      <c r="M5662" s="11"/>
      <c r="N5662" s="11"/>
      <c r="O5662" s="9"/>
      <c r="P5662" s="9"/>
      <c r="Q5662" s="9"/>
    </row>
    <row r="5663" spans="1:17" x14ac:dyDescent="0.25">
      <c r="A5663" s="9" t="s">
        <v>77</v>
      </c>
      <c r="B5663" s="9" t="s">
        <v>1600</v>
      </c>
      <c r="C5663" s="9" t="s">
        <v>28</v>
      </c>
      <c r="D5663" s="9"/>
      <c r="E5663" s="10">
        <v>44734</v>
      </c>
      <c r="F5663" s="100">
        <f t="shared" si="92"/>
        <v>660</v>
      </c>
      <c r="G5663" s="100">
        <f>SUM(Table3[[#This Row],[Kim Dệt Ngày]:[Kim Khác Đêm]])</f>
        <v>0</v>
      </c>
      <c r="H5663" s="10">
        <v>44743</v>
      </c>
      <c r="I5663" s="10"/>
      <c r="J5663" s="9">
        <f>36+84+72+72</f>
        <v>264</v>
      </c>
      <c r="K5663" s="9"/>
      <c r="L5663" s="9">
        <f>108+84+108+96</f>
        <v>396</v>
      </c>
      <c r="M5663" s="11"/>
      <c r="N5663" s="11"/>
      <c r="O5663" s="9"/>
      <c r="P5663" s="9"/>
      <c r="Q5663" s="9"/>
    </row>
    <row r="5664" spans="1:17" x14ac:dyDescent="0.25">
      <c r="A5664" s="9" t="s">
        <v>78</v>
      </c>
      <c r="B5664" s="9" t="s">
        <v>1336</v>
      </c>
      <c r="C5664" s="9" t="s">
        <v>18</v>
      </c>
      <c r="D5664" s="9"/>
      <c r="E5664" s="10">
        <v>44739</v>
      </c>
      <c r="F5664" s="100">
        <f t="shared" si="92"/>
        <v>732</v>
      </c>
      <c r="G5664" s="100">
        <f>SUM(Table3[[#This Row],[Kim Dệt Ngày]:[Kim Khác Đêm]])</f>
        <v>0</v>
      </c>
      <c r="H5664" s="10">
        <v>44743</v>
      </c>
      <c r="I5664" s="10"/>
      <c r="J5664" s="9">
        <f>60+84+72+84</f>
        <v>300</v>
      </c>
      <c r="K5664" s="9"/>
      <c r="L5664" s="9">
        <f>96+72+96+72+96</f>
        <v>432</v>
      </c>
      <c r="M5664" s="11"/>
      <c r="N5664" s="11"/>
      <c r="O5664" s="9"/>
      <c r="P5664" s="9"/>
      <c r="Q5664" s="9"/>
    </row>
    <row r="5665" spans="1:17" x14ac:dyDescent="0.25">
      <c r="A5665" s="9" t="s">
        <v>80</v>
      </c>
      <c r="B5665" s="261" t="s">
        <v>1070</v>
      </c>
      <c r="C5665" s="9" t="s">
        <v>18</v>
      </c>
      <c r="D5665" s="9"/>
      <c r="E5665" s="10">
        <v>44710</v>
      </c>
      <c r="F5665" s="100">
        <f t="shared" si="92"/>
        <v>672</v>
      </c>
      <c r="G5665" s="100">
        <f>SUM(Table3[[#This Row],[Kim Dệt Ngày]:[Kim Khác Đêm]])</f>
        <v>0</v>
      </c>
      <c r="H5665" s="10">
        <v>44743</v>
      </c>
      <c r="I5665" s="10"/>
      <c r="J5665" s="9">
        <f>60+72+60+72</f>
        <v>264</v>
      </c>
      <c r="K5665" s="9"/>
      <c r="L5665" s="9">
        <f>72+96+72+96+72</f>
        <v>408</v>
      </c>
      <c r="M5665" s="11"/>
      <c r="N5665" s="11"/>
      <c r="O5665" s="9"/>
      <c r="P5665" s="9"/>
      <c r="Q5665" s="9"/>
    </row>
    <row r="5666" spans="1:17" x14ac:dyDescent="0.25">
      <c r="A5666" s="9" t="s">
        <v>82</v>
      </c>
      <c r="B5666" s="9" t="s">
        <v>2081</v>
      </c>
      <c r="C5666" s="9" t="s">
        <v>39</v>
      </c>
      <c r="D5666" s="9"/>
      <c r="E5666" s="10">
        <v>44741</v>
      </c>
      <c r="F5666" s="100">
        <f t="shared" si="92"/>
        <v>852</v>
      </c>
      <c r="G5666" s="100">
        <f>SUM(Table3[[#This Row],[Kim Dệt Ngày]:[Kim Khác Đêm]])</f>
        <v>0</v>
      </c>
      <c r="H5666" s="10">
        <v>44743</v>
      </c>
      <c r="I5666" s="10"/>
      <c r="J5666" s="9">
        <f>72+84+72+84</f>
        <v>312</v>
      </c>
      <c r="K5666" s="9"/>
      <c r="L5666" s="9">
        <f>120+96+108+120+96</f>
        <v>540</v>
      </c>
      <c r="M5666" s="11"/>
      <c r="N5666" s="11"/>
      <c r="O5666" s="9"/>
      <c r="P5666" s="9"/>
      <c r="Q5666" s="9"/>
    </row>
    <row r="5667" spans="1:17" x14ac:dyDescent="0.25">
      <c r="A5667" s="9" t="s">
        <v>83</v>
      </c>
      <c r="B5667" s="161" t="s">
        <v>1071</v>
      </c>
      <c r="C5667" s="9" t="s">
        <v>18</v>
      </c>
      <c r="D5667" s="9"/>
      <c r="E5667" s="10">
        <v>44710</v>
      </c>
      <c r="F5667" s="100">
        <f t="shared" si="92"/>
        <v>528</v>
      </c>
      <c r="G5667" s="100">
        <f>SUM(Table3[[#This Row],[Kim Dệt Ngày]:[Kim Khác Đêm]])</f>
        <v>0</v>
      </c>
      <c r="H5667" s="10">
        <v>44743</v>
      </c>
      <c r="I5667" s="10"/>
      <c r="J5667" s="9">
        <f>48+60+60+48</f>
        <v>216</v>
      </c>
      <c r="K5667" s="9"/>
      <c r="L5667" s="9">
        <f>72+36+60+72+72</f>
        <v>312</v>
      </c>
      <c r="M5667" s="11"/>
      <c r="N5667" s="11"/>
      <c r="O5667" s="9"/>
      <c r="P5667" s="9"/>
      <c r="Q5667" s="9"/>
    </row>
    <row r="5668" spans="1:17" x14ac:dyDescent="0.25">
      <c r="A5668" s="9" t="s">
        <v>85</v>
      </c>
      <c r="B5668" s="157" t="s">
        <v>1088</v>
      </c>
      <c r="C5668" s="9" t="s">
        <v>2594</v>
      </c>
      <c r="D5668" s="9"/>
      <c r="E5668" s="10">
        <v>44727</v>
      </c>
      <c r="F5668" s="100">
        <f t="shared" si="92"/>
        <v>156</v>
      </c>
      <c r="G5668" s="100">
        <f>SUM(Table3[[#This Row],[Kim Dệt Ngày]:[Kim Khác Đêm]])</f>
        <v>0</v>
      </c>
      <c r="H5668" s="10">
        <v>44743</v>
      </c>
      <c r="I5668" s="10"/>
      <c r="J5668" s="9">
        <f>36+24+24+36</f>
        <v>120</v>
      </c>
      <c r="K5668" s="9"/>
      <c r="L5668" s="9">
        <f>24+12</f>
        <v>36</v>
      </c>
      <c r="M5668" s="11"/>
      <c r="N5668" s="11"/>
      <c r="O5668" s="9"/>
      <c r="P5668" s="9"/>
      <c r="Q5668" s="9"/>
    </row>
    <row r="5669" spans="1:17" hidden="1" x14ac:dyDescent="0.2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 t="shared" si="92"/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x14ac:dyDescent="0.25">
      <c r="A5670" s="9" t="s">
        <v>90</v>
      </c>
      <c r="B5670" s="9" t="s">
        <v>1070</v>
      </c>
      <c r="C5670" s="9" t="s">
        <v>18</v>
      </c>
      <c r="D5670" s="9"/>
      <c r="E5670" s="10">
        <v>44710</v>
      </c>
      <c r="F5670" s="100">
        <f t="shared" si="92"/>
        <v>276</v>
      </c>
      <c r="G5670" s="100">
        <f>SUM(Table3[[#This Row],[Kim Dệt Ngày]:[Kim Khác Đêm]])</f>
        <v>0</v>
      </c>
      <c r="H5670" s="10">
        <v>44743</v>
      </c>
      <c r="I5670" s="10"/>
      <c r="J5670" s="9">
        <f>48+48+36+48</f>
        <v>180</v>
      </c>
      <c r="K5670" s="9"/>
      <c r="L5670" s="9">
        <f>48+48</f>
        <v>96</v>
      </c>
      <c r="M5670" s="11"/>
      <c r="N5670" s="11"/>
      <c r="O5670" s="9"/>
      <c r="P5670" s="9"/>
      <c r="Q5670" s="9"/>
    </row>
    <row r="5671" spans="1:17" x14ac:dyDescent="0.25">
      <c r="A5671" s="9" t="s">
        <v>91</v>
      </c>
      <c r="B5671" s="161" t="s">
        <v>1071</v>
      </c>
      <c r="C5671" s="9" t="s">
        <v>28</v>
      </c>
      <c r="D5671" s="9"/>
      <c r="E5671" s="10">
        <v>44736</v>
      </c>
      <c r="F5671" s="100">
        <f t="shared" si="92"/>
        <v>0</v>
      </c>
      <c r="G5671" s="100">
        <f>SUM(Table3[[#This Row],[Kim Dệt Ngày]:[Kim Khác Đêm]])</f>
        <v>0</v>
      </c>
      <c r="H5671" s="10">
        <v>44743</v>
      </c>
      <c r="I5671" s="10"/>
      <c r="J5671" s="9"/>
      <c r="K5671" s="9"/>
      <c r="L5671" s="9"/>
      <c r="M5671" s="11"/>
      <c r="N5671" s="11"/>
      <c r="O5671" s="9"/>
      <c r="P5671" s="9"/>
      <c r="Q5671" s="9"/>
    </row>
    <row r="5672" spans="1:17" x14ac:dyDescent="0.25">
      <c r="A5672" s="9" t="s">
        <v>93</v>
      </c>
      <c r="B5672" s="9" t="s">
        <v>1691</v>
      </c>
      <c r="C5672" s="9" t="s">
        <v>18</v>
      </c>
      <c r="D5672" s="9"/>
      <c r="E5672" s="10">
        <v>44686</v>
      </c>
      <c r="F5672" s="100">
        <f t="shared" si="92"/>
        <v>264</v>
      </c>
      <c r="G5672" s="100">
        <f>SUM(Table3[[#This Row],[Kim Dệt Ngày]:[Kim Khác Đêm]])</f>
        <v>0</v>
      </c>
      <c r="H5672" s="10">
        <v>44743</v>
      </c>
      <c r="I5672" s="10"/>
      <c r="J5672" s="9">
        <f>48+36+48+36</f>
        <v>168</v>
      </c>
      <c r="K5672" s="9"/>
      <c r="L5672" s="9">
        <f>48+48</f>
        <v>96</v>
      </c>
      <c r="M5672" s="11"/>
      <c r="N5672" s="11"/>
      <c r="O5672" s="9"/>
      <c r="P5672" s="9"/>
      <c r="Q5672" s="9"/>
    </row>
    <row r="5673" spans="1:17" x14ac:dyDescent="0.25">
      <c r="A5673" s="9" t="s">
        <v>94</v>
      </c>
      <c r="B5673" s="9" t="s">
        <v>2605</v>
      </c>
      <c r="C5673" s="9" t="s">
        <v>25</v>
      </c>
      <c r="D5673" s="9"/>
      <c r="E5673" s="10">
        <v>44741</v>
      </c>
      <c r="F5673" s="100">
        <f t="shared" si="92"/>
        <v>348</v>
      </c>
      <c r="G5673" s="100">
        <f>SUM(Table3[[#This Row],[Kim Dệt Ngày]:[Kim Khác Đêm]])</f>
        <v>0</v>
      </c>
      <c r="H5673" s="10">
        <v>44743</v>
      </c>
      <c r="I5673" s="10"/>
      <c r="J5673" s="9">
        <f>36+48+48+48</f>
        <v>180</v>
      </c>
      <c r="K5673" s="9"/>
      <c r="L5673" s="9">
        <f>48+36+48+36</f>
        <v>168</v>
      </c>
      <c r="M5673" s="11"/>
      <c r="N5673" s="11"/>
      <c r="O5673" s="9"/>
      <c r="P5673" s="9"/>
      <c r="Q5673" s="9"/>
    </row>
    <row r="5674" spans="1:17" x14ac:dyDescent="0.25">
      <c r="A5674" s="9" t="s">
        <v>95</v>
      </c>
      <c r="B5674" s="9" t="s">
        <v>2605</v>
      </c>
      <c r="C5674" s="9" t="s">
        <v>18</v>
      </c>
      <c r="D5674" s="9"/>
      <c r="E5674" s="10">
        <v>44741</v>
      </c>
      <c r="F5674" s="100">
        <f t="shared" si="92"/>
        <v>588</v>
      </c>
      <c r="G5674" s="100">
        <f>SUM(Table3[[#This Row],[Kim Dệt Ngày]:[Kim Khác Đêm]])</f>
        <v>0</v>
      </c>
      <c r="H5674" s="10">
        <v>44743</v>
      </c>
      <c r="I5674" s="10"/>
      <c r="J5674" s="9">
        <f>60+48+60+60</f>
        <v>228</v>
      </c>
      <c r="K5674" s="9"/>
      <c r="L5674" s="9">
        <f>84+60+60+84+72</f>
        <v>360</v>
      </c>
      <c r="M5674" s="11"/>
      <c r="N5674" s="11"/>
      <c r="O5674" s="9"/>
      <c r="P5674" s="9"/>
      <c r="Q5674" s="9"/>
    </row>
    <row r="5675" spans="1:17" x14ac:dyDescent="0.25">
      <c r="A5675" s="9" t="s">
        <v>96</v>
      </c>
      <c r="B5675" s="9" t="s">
        <v>1060</v>
      </c>
      <c r="C5675" s="9" t="s">
        <v>18</v>
      </c>
      <c r="D5675" s="9"/>
      <c r="E5675" s="10">
        <v>44733</v>
      </c>
      <c r="F5675" s="100">
        <f t="shared" si="92"/>
        <v>708</v>
      </c>
      <c r="G5675" s="100">
        <f>SUM(Table3[[#This Row],[Kim Dệt Ngày]:[Kim Khác Đêm]])</f>
        <v>0</v>
      </c>
      <c r="H5675" s="10">
        <v>44743</v>
      </c>
      <c r="I5675" s="10"/>
      <c r="J5675" s="9">
        <f>72+72+84+84</f>
        <v>312</v>
      </c>
      <c r="K5675" s="9"/>
      <c r="L5675" s="9">
        <f>84+72+84+84+72</f>
        <v>396</v>
      </c>
      <c r="M5675" s="11"/>
      <c r="N5675" s="11"/>
      <c r="O5675" s="9"/>
      <c r="P5675" s="9"/>
      <c r="Q5675" s="9"/>
    </row>
    <row r="5676" spans="1:17" x14ac:dyDescent="0.25">
      <c r="A5676" s="9" t="s">
        <v>97</v>
      </c>
      <c r="B5676" s="9" t="s">
        <v>2244</v>
      </c>
      <c r="C5676" s="9" t="s">
        <v>39</v>
      </c>
      <c r="D5676" s="9"/>
      <c r="E5676" s="10">
        <v>44741</v>
      </c>
      <c r="F5676" s="100">
        <f t="shared" si="92"/>
        <v>444</v>
      </c>
      <c r="G5676" s="100">
        <f>SUM(Table3[[#This Row],[Kim Dệt Ngày]:[Kim Khác Đêm]])</f>
        <v>0</v>
      </c>
      <c r="H5676" s="10">
        <v>44743</v>
      </c>
      <c r="I5676" s="10"/>
      <c r="J5676" s="9">
        <f>36+48+36+48</f>
        <v>168</v>
      </c>
      <c r="K5676" s="9"/>
      <c r="L5676" s="9">
        <f>60+60+48+60+48</f>
        <v>276</v>
      </c>
      <c r="M5676" s="11"/>
      <c r="N5676" s="11"/>
      <c r="O5676" s="9"/>
      <c r="P5676" s="9"/>
      <c r="Q5676" s="9"/>
    </row>
    <row r="5677" spans="1:17" x14ac:dyDescent="0.25">
      <c r="A5677" s="9" t="s">
        <v>98</v>
      </c>
      <c r="B5677" s="9" t="s">
        <v>2605</v>
      </c>
      <c r="C5677" s="9" t="s">
        <v>28</v>
      </c>
      <c r="D5677" s="9"/>
      <c r="E5677" s="10">
        <v>44741</v>
      </c>
      <c r="F5677" s="100">
        <f t="shared" si="92"/>
        <v>420</v>
      </c>
      <c r="G5677" s="100">
        <f>SUM(Table3[[#This Row],[Kim Dệt Ngày]:[Kim Khác Đêm]])</f>
        <v>0</v>
      </c>
      <c r="H5677" s="10">
        <v>44743</v>
      </c>
      <c r="I5677" s="10"/>
      <c r="J5677" s="9">
        <f>36+48+48+48</f>
        <v>180</v>
      </c>
      <c r="K5677" s="9"/>
      <c r="L5677" s="9">
        <f>60+36+48+48+48</f>
        <v>240</v>
      </c>
      <c r="M5677" s="11"/>
      <c r="N5677" s="11"/>
      <c r="O5677" s="9"/>
      <c r="P5677" s="9"/>
      <c r="Q5677" s="9"/>
    </row>
    <row r="5678" spans="1:17" x14ac:dyDescent="0.25">
      <c r="A5678" s="9" t="s">
        <v>100</v>
      </c>
      <c r="B5678" s="9" t="s">
        <v>2605</v>
      </c>
      <c r="C5678" s="9" t="s">
        <v>25</v>
      </c>
      <c r="D5678" s="9"/>
      <c r="E5678" s="10">
        <v>44741</v>
      </c>
      <c r="F5678" s="100">
        <f t="shared" si="92"/>
        <v>0</v>
      </c>
      <c r="G5678" s="100">
        <f>SUM(Table3[[#This Row],[Kim Dệt Ngày]:[Kim Khác Đêm]])</f>
        <v>0</v>
      </c>
      <c r="H5678" s="10">
        <v>44743</v>
      </c>
      <c r="I5678" s="10"/>
      <c r="J5678" s="9"/>
      <c r="K5678" s="9"/>
      <c r="L5678" s="9"/>
      <c r="M5678" s="11"/>
      <c r="N5678" s="11"/>
      <c r="O5678" s="9"/>
      <c r="P5678" s="9"/>
      <c r="Q5678" s="9"/>
    </row>
    <row r="5679" spans="1:17" x14ac:dyDescent="0.25">
      <c r="A5679" s="9" t="s">
        <v>101</v>
      </c>
      <c r="B5679" s="9" t="s">
        <v>2244</v>
      </c>
      <c r="C5679" s="9" t="s">
        <v>18</v>
      </c>
      <c r="D5679" s="9"/>
      <c r="E5679" s="10">
        <v>44741</v>
      </c>
      <c r="F5679" s="100">
        <f t="shared" si="92"/>
        <v>324</v>
      </c>
      <c r="G5679" s="100">
        <f>SUM(Table3[[#This Row],[Kim Dệt Ngày]:[Kim Khác Đêm]])</f>
        <v>0</v>
      </c>
      <c r="H5679" s="10">
        <v>44743</v>
      </c>
      <c r="I5679" s="10"/>
      <c r="J5679" s="9">
        <f>48+36+48+36</f>
        <v>168</v>
      </c>
      <c r="K5679" s="9"/>
      <c r="L5679" s="9">
        <f>60+48+48</f>
        <v>156</v>
      </c>
      <c r="M5679" s="11"/>
      <c r="N5679" s="11"/>
      <c r="O5679" s="9"/>
      <c r="P5679" s="9"/>
      <c r="Q5679" s="9"/>
    </row>
    <row r="5680" spans="1:17" x14ac:dyDescent="0.25">
      <c r="A5680" s="9" t="s">
        <v>102</v>
      </c>
      <c r="B5680" s="150" t="s">
        <v>2259</v>
      </c>
      <c r="C5680" s="9" t="s">
        <v>39</v>
      </c>
      <c r="D5680" s="9"/>
      <c r="E5680" s="10">
        <v>44738</v>
      </c>
      <c r="F5680" s="100">
        <f t="shared" si="92"/>
        <v>396</v>
      </c>
      <c r="G5680" s="100">
        <f>SUM(Table3[[#This Row],[Kim Dệt Ngày]:[Kim Khác Đêm]])</f>
        <v>0</v>
      </c>
      <c r="H5680" s="10">
        <v>44743</v>
      </c>
      <c r="I5680" s="10"/>
      <c r="J5680" s="9">
        <f>36+36+36+36</f>
        <v>144</v>
      </c>
      <c r="K5680" s="9"/>
      <c r="L5680" s="9">
        <f>48+60+48+48+48</f>
        <v>252</v>
      </c>
      <c r="M5680" s="11"/>
      <c r="N5680" s="11"/>
      <c r="O5680" s="9"/>
      <c r="P5680" s="9"/>
      <c r="Q5680" s="9"/>
    </row>
    <row r="5681" spans="1:17" hidden="1" x14ac:dyDescent="0.2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 t="shared" si="92"/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25">
      <c r="A5682" s="9" t="s">
        <v>105</v>
      </c>
      <c r="B5682" s="9" t="s">
        <v>2259</v>
      </c>
      <c r="C5682" s="9" t="s">
        <v>39</v>
      </c>
      <c r="D5682" s="9"/>
      <c r="E5682" s="10">
        <v>44738</v>
      </c>
      <c r="F5682" s="100">
        <f t="shared" si="92"/>
        <v>372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</f>
        <v>144</v>
      </c>
      <c r="K5682" s="9"/>
      <c r="L5682" s="9">
        <f>36+36+48+60+48</f>
        <v>228</v>
      </c>
      <c r="M5682" s="11"/>
      <c r="N5682" s="11"/>
      <c r="O5682" s="9"/>
      <c r="P5682" s="9"/>
      <c r="Q5682" s="9"/>
    </row>
    <row r="5683" spans="1:17" x14ac:dyDescent="0.25">
      <c r="A5683" s="9" t="s">
        <v>88</v>
      </c>
      <c r="B5683" s="9" t="s">
        <v>2592</v>
      </c>
      <c r="C5683" s="9" t="s">
        <v>18</v>
      </c>
      <c r="D5683" s="9"/>
      <c r="E5683" s="10">
        <v>44718</v>
      </c>
      <c r="F5683" s="100">
        <f t="shared" ref="F5683:F5708" si="93">SUM(J5683:L5683)</f>
        <v>0</v>
      </c>
      <c r="G5683" s="100">
        <f>SUM(Table3[[#This Row],[Kim Dệt Ngày]:[Kim Khác Đêm]])</f>
        <v>0</v>
      </c>
      <c r="H5683" s="10">
        <v>44748</v>
      </c>
      <c r="I5683" s="10"/>
      <c r="J5683" s="9"/>
      <c r="K5683" s="9"/>
      <c r="L5683" s="9"/>
      <c r="M5683" s="11"/>
      <c r="N5683" s="11"/>
      <c r="O5683" s="9"/>
      <c r="P5683" s="9"/>
      <c r="Q5683" s="9"/>
    </row>
    <row r="5684" spans="1:17" x14ac:dyDescent="0.25">
      <c r="A5684" s="9" t="s">
        <v>103</v>
      </c>
      <c r="B5684" s="150" t="s">
        <v>2259</v>
      </c>
      <c r="C5684" s="9" t="s">
        <v>39</v>
      </c>
      <c r="D5684" s="9"/>
      <c r="E5684" s="10">
        <v>44738</v>
      </c>
      <c r="F5684" s="100">
        <f t="shared" si="93"/>
        <v>60</v>
      </c>
      <c r="G5684" s="100">
        <f>SUM(Table3[[#This Row],[Kim Dệt Ngày]:[Kim Khác Đêm]])</f>
        <v>0</v>
      </c>
      <c r="H5684" s="10">
        <v>44747</v>
      </c>
      <c r="I5684" s="10"/>
      <c r="J5684" s="9">
        <f>24</f>
        <v>24</v>
      </c>
      <c r="K5684" s="9"/>
      <c r="L5684" s="9">
        <f>36</f>
        <v>36</v>
      </c>
      <c r="M5684" s="11"/>
      <c r="N5684" s="11"/>
      <c r="O5684" s="9"/>
      <c r="P5684" s="9"/>
      <c r="Q5684" s="9"/>
    </row>
    <row r="5685" spans="1:17" x14ac:dyDescent="0.25">
      <c r="A5685" s="9"/>
      <c r="B5685" s="151"/>
      <c r="C5685" s="9"/>
      <c r="D5685" s="9"/>
      <c r="E5685" s="10"/>
      <c r="F5685" s="100">
        <f t="shared" si="93"/>
        <v>0</v>
      </c>
      <c r="G5685" s="100">
        <f>SUM(Table3[[#This Row],[Kim Dệt Ngày]:[Kim Khác Đêm]])</f>
        <v>0</v>
      </c>
      <c r="H5685" s="10"/>
      <c r="I5685" s="10"/>
      <c r="J5685" s="9"/>
      <c r="K5685" s="9"/>
      <c r="L5685" s="9"/>
      <c r="M5685" s="11"/>
      <c r="N5685" s="11"/>
      <c r="O5685" s="9"/>
      <c r="P5685" s="9"/>
      <c r="Q5685" s="9"/>
    </row>
    <row r="5686" spans="1:17" x14ac:dyDescent="0.25">
      <c r="A5686" s="9"/>
      <c r="B5686" s="9"/>
      <c r="C5686" s="9"/>
      <c r="D5686" s="9"/>
      <c r="E5686" s="10"/>
      <c r="F5686" s="100">
        <f t="shared" si="93"/>
        <v>0</v>
      </c>
      <c r="G5686" s="100">
        <f>SUM(Table3[[#This Row],[Kim Dệt Ngày]:[Kim Khác Đêm]])</f>
        <v>0</v>
      </c>
      <c r="H5686" s="10"/>
      <c r="I5686" s="10"/>
      <c r="J5686" s="9"/>
      <c r="K5686" s="9"/>
      <c r="L5686" s="9"/>
      <c r="M5686" s="11"/>
      <c r="N5686" s="11"/>
      <c r="O5686" s="9"/>
      <c r="P5686" s="9"/>
      <c r="Q5686" s="9"/>
    </row>
    <row r="5687" spans="1:17" x14ac:dyDescent="0.25">
      <c r="A5687" s="9"/>
      <c r="B5687" s="9"/>
      <c r="C5687" s="9"/>
      <c r="D5687" s="9"/>
      <c r="E5687" s="10"/>
      <c r="F5687" s="100">
        <f t="shared" si="93"/>
        <v>0</v>
      </c>
      <c r="G5687" s="100">
        <f>SUM(Table3[[#This Row],[Kim Dệt Ngày]:[Kim Khác Đêm]])</f>
        <v>0</v>
      </c>
      <c r="H5687" s="10"/>
      <c r="I5687" s="10"/>
      <c r="J5687" s="9"/>
      <c r="K5687" s="9"/>
      <c r="L5687" s="9"/>
      <c r="M5687" s="11"/>
      <c r="N5687" s="11"/>
      <c r="O5687" s="9"/>
      <c r="P5687" s="9"/>
      <c r="Q5687" s="9"/>
    </row>
    <row r="5688" spans="1:17" x14ac:dyDescent="0.25">
      <c r="A5688" s="9"/>
      <c r="B5688" s="9"/>
      <c r="C5688" s="9"/>
      <c r="D5688" s="9"/>
      <c r="E5688" s="10"/>
      <c r="F5688" s="100">
        <f t="shared" si="93"/>
        <v>0</v>
      </c>
      <c r="G5688" s="100">
        <f>SUM(Table3[[#This Row],[Kim Dệt Ngày]:[Kim Khác Đêm]])</f>
        <v>0</v>
      </c>
      <c r="H5688" s="10"/>
      <c r="I5688" s="10"/>
      <c r="J5688" s="9"/>
      <c r="K5688" s="9"/>
      <c r="L5688" s="9"/>
      <c r="M5688" s="11"/>
      <c r="N5688" s="11"/>
      <c r="O5688" s="9"/>
      <c r="P5688" s="9"/>
      <c r="Q5688" s="9"/>
    </row>
    <row r="5689" spans="1:17" x14ac:dyDescent="0.25">
      <c r="A5689" s="9"/>
      <c r="B5689" s="9"/>
      <c r="C5689" s="9"/>
      <c r="D5689" s="9"/>
      <c r="E5689" s="10"/>
      <c r="F5689" s="100">
        <f t="shared" si="93"/>
        <v>0</v>
      </c>
      <c r="G5689" s="100">
        <f>SUM(Table3[[#This Row],[Kim Dệt Ngày]:[Kim Khác Đêm]])</f>
        <v>0</v>
      </c>
      <c r="H5689" s="10"/>
      <c r="I5689" s="10"/>
      <c r="J5689" s="9"/>
      <c r="K5689" s="9"/>
      <c r="L5689" s="9"/>
      <c r="M5689" s="11"/>
      <c r="N5689" s="11"/>
      <c r="O5689" s="9"/>
      <c r="P5689" s="9"/>
      <c r="Q5689" s="9"/>
    </row>
    <row r="5690" spans="1:17" x14ac:dyDescent="0.25">
      <c r="A5690" s="9"/>
      <c r="B5690" s="9"/>
      <c r="C5690" s="9"/>
      <c r="D5690" s="9"/>
      <c r="E5690" s="10"/>
      <c r="F5690" s="100">
        <f t="shared" si="93"/>
        <v>0</v>
      </c>
      <c r="G5690" s="100">
        <f>SUM(Table3[[#This Row],[Kim Dệt Ngày]:[Kim Khác Đêm]])</f>
        <v>0</v>
      </c>
      <c r="H5690" s="10"/>
      <c r="I5690" s="10"/>
      <c r="J5690" s="9"/>
      <c r="K5690" s="9"/>
      <c r="L5690" s="9"/>
      <c r="M5690" s="11"/>
      <c r="N5690" s="11"/>
      <c r="O5690" s="9"/>
      <c r="P5690" s="9"/>
      <c r="Q5690" s="9"/>
    </row>
    <row r="5691" spans="1:17" x14ac:dyDescent="0.25">
      <c r="A5691" s="9"/>
      <c r="B5691" s="9"/>
      <c r="C5691" s="9"/>
      <c r="D5691" s="9"/>
      <c r="E5691" s="10"/>
      <c r="F5691" s="100">
        <f t="shared" si="93"/>
        <v>0</v>
      </c>
      <c r="G5691" s="100">
        <f>SUM(Table3[[#This Row],[Kim Dệt Ngày]:[Kim Khác Đêm]])</f>
        <v>0</v>
      </c>
      <c r="H5691" s="10"/>
      <c r="I5691" s="10"/>
      <c r="J5691" s="9"/>
      <c r="K5691" s="9"/>
      <c r="L5691" s="9"/>
      <c r="M5691" s="11"/>
      <c r="N5691" s="11"/>
      <c r="O5691" s="9"/>
      <c r="P5691" s="9"/>
      <c r="Q5691" s="9"/>
    </row>
    <row r="5692" spans="1:17" x14ac:dyDescent="0.25">
      <c r="A5692" s="9"/>
      <c r="B5692" s="9"/>
      <c r="C5692" s="9"/>
      <c r="D5692" s="9"/>
      <c r="E5692" s="10"/>
      <c r="F5692" s="100">
        <f t="shared" si="93"/>
        <v>0</v>
      </c>
      <c r="G5692" s="100">
        <f>SUM(Table3[[#This Row],[Kim Dệt Ngày]:[Kim Khác Đêm]])</f>
        <v>0</v>
      </c>
      <c r="H5692" s="10"/>
      <c r="I5692" s="10"/>
      <c r="J5692" s="9"/>
      <c r="K5692" s="9"/>
      <c r="L5692" s="9"/>
      <c r="M5692" s="11"/>
      <c r="N5692" s="11"/>
      <c r="O5692" s="9"/>
      <c r="P5692" s="9"/>
      <c r="Q5692" s="9"/>
    </row>
    <row r="5693" spans="1:17" x14ac:dyDescent="0.25">
      <c r="A5693" s="9"/>
      <c r="B5693" s="9"/>
      <c r="C5693" s="9"/>
      <c r="D5693" s="9"/>
      <c r="E5693" s="10"/>
      <c r="F5693" s="100">
        <f t="shared" si="93"/>
        <v>0</v>
      </c>
      <c r="G5693" s="100">
        <f>SUM(Table3[[#This Row],[Kim Dệt Ngày]:[Kim Khác Đêm]])</f>
        <v>0</v>
      </c>
      <c r="H5693" s="10"/>
      <c r="I5693" s="10"/>
      <c r="J5693" s="9"/>
      <c r="K5693" s="9"/>
      <c r="L5693" s="9"/>
      <c r="M5693" s="11"/>
      <c r="N5693" s="11"/>
      <c r="O5693" s="9"/>
      <c r="P5693" s="9"/>
      <c r="Q5693" s="9"/>
    </row>
    <row r="5694" spans="1:17" x14ac:dyDescent="0.25">
      <c r="A5694" s="9"/>
      <c r="B5694" s="9"/>
      <c r="C5694" s="9"/>
      <c r="D5694" s="9"/>
      <c r="E5694" s="10"/>
      <c r="F5694" s="100">
        <f t="shared" si="93"/>
        <v>0</v>
      </c>
      <c r="G5694" s="100">
        <f>SUM(Table3[[#This Row],[Kim Dệt Ngày]:[Kim Khác Đêm]])</f>
        <v>0</v>
      </c>
      <c r="H5694" s="10"/>
      <c r="I5694" s="10"/>
      <c r="J5694" s="9"/>
      <c r="K5694" s="9"/>
      <c r="L5694" s="9"/>
      <c r="M5694" s="11"/>
      <c r="N5694" s="11"/>
      <c r="O5694" s="9"/>
      <c r="P5694" s="9"/>
      <c r="Q5694" s="9"/>
    </row>
    <row r="5695" spans="1:17" x14ac:dyDescent="0.25">
      <c r="A5695" s="9"/>
      <c r="B5695" s="9"/>
      <c r="C5695" s="9"/>
      <c r="D5695" s="9"/>
      <c r="E5695" s="10"/>
      <c r="F5695" s="100">
        <f t="shared" si="93"/>
        <v>0</v>
      </c>
      <c r="G5695" s="100">
        <f>SUM(Table3[[#This Row],[Kim Dệt Ngày]:[Kim Khác Đêm]])</f>
        <v>0</v>
      </c>
      <c r="H5695" s="10"/>
      <c r="I5695" s="10"/>
      <c r="J5695" s="9"/>
      <c r="K5695" s="9"/>
      <c r="L5695" s="9"/>
      <c r="M5695" s="11"/>
      <c r="N5695" s="11"/>
      <c r="O5695" s="9"/>
      <c r="P5695" s="9"/>
      <c r="Q5695" s="9"/>
    </row>
    <row r="5696" spans="1:17" x14ac:dyDescent="0.25">
      <c r="A5696" s="9"/>
      <c r="B5696" s="9"/>
      <c r="C5696" s="9"/>
      <c r="D5696" s="9"/>
      <c r="E5696" s="10"/>
      <c r="F5696" s="100">
        <f t="shared" si="93"/>
        <v>0</v>
      </c>
      <c r="G5696" s="100">
        <f>SUM(Table3[[#This Row],[Kim Dệt Ngày]:[Kim Khác Đêm]])</f>
        <v>0</v>
      </c>
      <c r="H5696" s="10"/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25">
      <c r="A5697" s="9"/>
      <c r="B5697" s="9"/>
      <c r="C5697" s="9"/>
      <c r="D5697" s="9"/>
      <c r="E5697" s="10"/>
      <c r="F5697" s="100">
        <f t="shared" si="93"/>
        <v>0</v>
      </c>
      <c r="G5697" s="100">
        <f>SUM(Table3[[#This Row],[Kim Dệt Ngày]:[Kim Khác Đêm]])</f>
        <v>0</v>
      </c>
      <c r="H5697" s="10"/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25">
      <c r="A5698" s="9"/>
      <c r="B5698" s="9"/>
      <c r="C5698" s="9"/>
      <c r="D5698" s="9"/>
      <c r="E5698" s="10"/>
      <c r="F5698" s="100">
        <f t="shared" si="93"/>
        <v>0</v>
      </c>
      <c r="G5698" s="100">
        <f>SUM(Table3[[#This Row],[Kim Dệt Ngày]:[Kim Khác Đêm]])</f>
        <v>0</v>
      </c>
      <c r="H5698" s="10"/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25">
      <c r="A5699" s="9"/>
      <c r="B5699" s="9"/>
      <c r="C5699" s="9"/>
      <c r="D5699" s="9"/>
      <c r="E5699" s="10"/>
      <c r="F5699" s="100">
        <f t="shared" si="93"/>
        <v>0</v>
      </c>
      <c r="G5699" s="100">
        <f>SUM(Table3[[#This Row],[Kim Dệt Ngày]:[Kim Khác Đêm]])</f>
        <v>0</v>
      </c>
      <c r="H5699" s="10"/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25">
      <c r="A5700" s="9"/>
      <c r="B5700" s="9"/>
      <c r="C5700" s="9"/>
      <c r="D5700" s="9"/>
      <c r="E5700" s="10"/>
      <c r="F5700" s="100">
        <f t="shared" si="93"/>
        <v>0</v>
      </c>
      <c r="G5700" s="100">
        <f>SUM(Table3[[#This Row],[Kim Dệt Ngày]:[Kim Khác Đêm]])</f>
        <v>0</v>
      </c>
      <c r="H5700" s="10"/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25">
      <c r="A5701" s="9"/>
      <c r="B5701" s="9"/>
      <c r="C5701" s="9"/>
      <c r="D5701" s="9"/>
      <c r="E5701" s="10"/>
      <c r="F5701" s="100">
        <f t="shared" si="93"/>
        <v>0</v>
      </c>
      <c r="G5701" s="100">
        <f>SUM(Table3[[#This Row],[Kim Dệt Ngày]:[Kim Khác Đêm]])</f>
        <v>0</v>
      </c>
      <c r="H5701" s="10"/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25">
      <c r="A5702" s="9"/>
      <c r="B5702" s="9"/>
      <c r="C5702" s="9"/>
      <c r="D5702" s="9"/>
      <c r="E5702" s="10"/>
      <c r="F5702" s="100">
        <f t="shared" si="93"/>
        <v>0</v>
      </c>
      <c r="G5702" s="100">
        <f>SUM(Table3[[#This Row],[Kim Dệt Ngày]:[Kim Khác Đêm]])</f>
        <v>0</v>
      </c>
      <c r="H5702" s="10"/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25">
      <c r="A5703" s="9"/>
      <c r="B5703" s="9"/>
      <c r="C5703" s="9"/>
      <c r="D5703" s="9"/>
      <c r="E5703" s="10"/>
      <c r="F5703" s="100">
        <f t="shared" si="93"/>
        <v>0</v>
      </c>
      <c r="G5703" s="100">
        <f>SUM(Table3[[#This Row],[Kim Dệt Ngày]:[Kim Khác Đêm]])</f>
        <v>0</v>
      </c>
      <c r="H5703" s="10"/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25">
      <c r="A5704" s="9"/>
      <c r="B5704" s="9"/>
      <c r="C5704" s="9"/>
      <c r="D5704" s="9"/>
      <c r="E5704" s="10"/>
      <c r="F5704" s="100">
        <f t="shared" si="93"/>
        <v>0</v>
      </c>
      <c r="G5704" s="100">
        <f>SUM(Table3[[#This Row],[Kim Dệt Ngày]:[Kim Khác Đêm]])</f>
        <v>0</v>
      </c>
      <c r="H5704" s="10"/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25">
      <c r="A5705" s="9"/>
      <c r="B5705" s="9"/>
      <c r="C5705" s="9"/>
      <c r="D5705" s="9"/>
      <c r="E5705" s="10"/>
      <c r="F5705" s="100">
        <f t="shared" si="93"/>
        <v>0</v>
      </c>
      <c r="G5705" s="100">
        <f>SUM(Table3[[#This Row],[Kim Dệt Ngày]:[Kim Khác Đêm]])</f>
        <v>0</v>
      </c>
      <c r="H5705" s="10"/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25">
      <c r="A5706" s="9"/>
      <c r="B5706" s="9"/>
      <c r="C5706" s="9"/>
      <c r="D5706" s="9"/>
      <c r="E5706" s="10"/>
      <c r="F5706" s="100">
        <f t="shared" si="93"/>
        <v>0</v>
      </c>
      <c r="G5706" s="100">
        <f>SUM(Table3[[#This Row],[Kim Dệt Ngày]:[Kim Khác Đêm]])</f>
        <v>0</v>
      </c>
      <c r="H5706" s="10"/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25">
      <c r="A5707" s="9"/>
      <c r="B5707" s="9"/>
      <c r="C5707" s="9"/>
      <c r="D5707" s="9"/>
      <c r="E5707" s="10"/>
      <c r="F5707" s="100">
        <f t="shared" si="93"/>
        <v>0</v>
      </c>
      <c r="G5707" s="100">
        <f>SUM(Table3[[#This Row],[Kim Dệt Ngày]:[Kim Khác Đêm]])</f>
        <v>0</v>
      </c>
      <c r="H5707" s="10"/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25">
      <c r="A5708" s="14"/>
      <c r="B5708" s="14"/>
      <c r="C5708" s="14"/>
      <c r="D5708" s="14"/>
      <c r="E5708" s="144"/>
      <c r="F5708" s="145">
        <f t="shared" si="93"/>
        <v>0</v>
      </c>
      <c r="G5708" s="145">
        <f>SUM(Table3[[#This Row],[Kim Dệt Ngày]:[Kim Khác Đêm]])</f>
        <v>0</v>
      </c>
      <c r="H5708" s="144"/>
      <c r="I5708" s="144"/>
      <c r="J5708" s="14"/>
      <c r="K5708" s="14"/>
      <c r="L5708" s="14"/>
      <c r="M5708" s="146"/>
      <c r="N5708" s="146"/>
      <c r="O5708" s="14"/>
      <c r="P5708" s="14"/>
      <c r="Q5708" s="14"/>
    </row>
  </sheetData>
  <phoneticPr fontId="19" type="noConversion"/>
  <hyperlinks>
    <hyperlink ref="B3418" r:id="rId1" display="Wo@da LK-302" xr:uid="{00000000-0004-0000-0300-000000000000}"/>
    <hyperlink ref="B3574" r:id="rId2" display="Wo@da LK-302" xr:uid="{00000000-0004-0000-0300-000001000000}"/>
    <hyperlink ref="B3680" r:id="rId3" display="Wo@da LK-302" xr:uid="{00000000-0004-0000-0300-000002000000}"/>
    <hyperlink ref="B3845" r:id="rId4" display="Wo@da LK-302" xr:uid="{00000000-0004-0000-0300-000003000000}"/>
    <hyperlink ref="B3847" r:id="rId5" display="Wo@da LK-302" xr:uid="{00000000-0004-0000-0300-000004000000}"/>
    <hyperlink ref="B3846" r:id="rId6" display="Wo@da LK-302" xr:uid="{00000000-0004-0000-0300-000005000000}"/>
    <hyperlink ref="B3860" r:id="rId7" display="Wo@da LK-302" xr:uid="{00000000-0004-0000-0300-000006000000}"/>
    <hyperlink ref="B4289" r:id="rId8" display="Wo@da LK-203" xr:uid="{00000000-0004-0000-0300-000007000000}"/>
    <hyperlink ref="B4288" r:id="rId9" display="Wo@da LK-203" xr:uid="{00000000-0004-0000-0300-000008000000}"/>
    <hyperlink ref="B3828" r:id="rId10" display="Wo@da LK-204" xr:uid="{00000000-0004-0000-0300-000009000000}"/>
    <hyperlink ref="B4487" r:id="rId11" display="Wo@da LK-501 Cotton" xr:uid="{00000000-0004-0000-0300-00000A000000}"/>
    <hyperlink ref="B4489" r:id="rId12" display="Wo@da LK-501 Cotton" xr:uid="{00000000-0004-0000-0300-00000B000000}"/>
    <hyperlink ref="B4491" r:id="rId13" display="Wo@da LK-501 Cotton" xr:uid="{00000000-0004-0000-0300-00000C000000}"/>
    <hyperlink ref="B4343" r:id="rId14" display="Wo@da LK-206" xr:uid="{00000000-0004-0000-0300-00000D000000}"/>
    <hyperlink ref="B4357" r:id="rId15" display="Wo@da LK-206" xr:uid="{00000000-0004-0000-0300-00000E000000}"/>
    <hyperlink ref="B4342" r:id="rId16" display="Wo@da LK-206" xr:uid="{00000000-0004-0000-0300-00000F000000}"/>
    <hyperlink ref="B4356" r:id="rId17" display="Wo@da LK-206" xr:uid="{00000000-0004-0000-0300-000010000000}"/>
    <hyperlink ref="B4358" r:id="rId18" display="Wo@da LK-206" xr:uid="{00000000-0004-0000-0300-000011000000}"/>
    <hyperlink ref="B4344" r:id="rId19" display="Wo@da LK-206" xr:uid="{00000000-0004-0000-0300-000012000000}"/>
    <hyperlink ref="B4345" r:id="rId20" display="Wo@da LK-206" xr:uid="{00000000-0004-0000-0300-000013000000}"/>
    <hyperlink ref="B4359" r:id="rId21" display="Wo@da LK-206" xr:uid="{00000000-0004-0000-0300-000014000000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333" t="s">
        <v>153</v>
      </c>
      <c r="C15" s="334"/>
      <c r="D15" s="334"/>
      <c r="E15" s="335"/>
      <c r="F15" s="19" t="s">
        <v>154</v>
      </c>
      <c r="G15" s="19" t="s">
        <v>155</v>
      </c>
      <c r="H15" s="19" t="s">
        <v>10</v>
      </c>
      <c r="I15" s="20" t="s">
        <v>15</v>
      </c>
      <c r="J15" s="334" t="s">
        <v>156</v>
      </c>
      <c r="K15" s="335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2334</v>
      </c>
      <c r="J1" t="s">
        <v>2408</v>
      </c>
      <c r="M1" t="s">
        <v>2410</v>
      </c>
      <c r="P1" t="s">
        <v>2409</v>
      </c>
    </row>
    <row r="2" spans="1:23" x14ac:dyDescent="0.2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2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2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2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2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2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2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2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2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2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2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2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2323</v>
      </c>
      <c r="B51" s="13"/>
      <c r="C51" s="13"/>
      <c r="D51" s="13"/>
      <c r="E51" s="13"/>
      <c r="F51" s="13"/>
      <c r="G51" s="13"/>
    </row>
    <row r="52" spans="1:7" x14ac:dyDescent="0.2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2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969"/>
  <sheetViews>
    <sheetView topLeftCell="A19" zoomScaleNormal="100" workbookViewId="0">
      <selection activeCell="F34" sqref="F34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336" t="s">
        <v>173</v>
      </c>
      <c r="B1" s="336"/>
      <c r="C1" s="336" t="s">
        <v>174</v>
      </c>
      <c r="D1" s="336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7">
        <f ca="1">TODAY()</f>
        <v>44748</v>
      </c>
      <c r="AR1" s="337"/>
      <c r="AS1" s="337"/>
    </row>
    <row r="2" spans="1:45" x14ac:dyDescent="0.2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336" t="s">
        <v>173</v>
      </c>
      <c r="B22" s="336"/>
      <c r="C22" s="336" t="s">
        <v>174</v>
      </c>
      <c r="D22" s="336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336" t="s">
        <v>173</v>
      </c>
      <c r="B45" s="336"/>
      <c r="C45" s="336" t="s">
        <v>174</v>
      </c>
      <c r="D45" s="336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8" t="s">
        <v>187</v>
      </c>
      <c r="AI55" s="339"/>
      <c r="AJ55" s="339"/>
      <c r="AK55" s="339"/>
      <c r="AL55" s="339"/>
      <c r="AM55" s="339"/>
      <c r="AN55" s="339"/>
      <c r="AO55" s="339"/>
      <c r="AP55" s="339"/>
      <c r="AQ55" s="339"/>
      <c r="AR55" s="339"/>
      <c r="AS55" s="339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9" t="s">
        <v>188</v>
      </c>
      <c r="AK56" s="339"/>
      <c r="AL56" s="339"/>
      <c r="AM56" s="339"/>
      <c r="AN56" s="339"/>
      <c r="AO56" s="339"/>
      <c r="AP56" s="339"/>
      <c r="AQ56" s="339"/>
      <c r="AR56" s="339"/>
      <c r="AS56" s="339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336" t="s">
        <v>173</v>
      </c>
      <c r="B69" s="336"/>
      <c r="C69" s="336" t="s">
        <v>174</v>
      </c>
      <c r="D69" s="336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44748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00000000-0004-0000-0700-000000000000}"/>
    <hyperlink ref="Q114" r:id="rId2" display="Wo@da LK-302" xr:uid="{00000000-0004-0000-0700-000001000000}"/>
    <hyperlink ref="O48" r:id="rId3" display="Wo@da LK-302" xr:uid="{00000000-0004-0000-0700-000002000000}"/>
    <hyperlink ref="Q76" r:id="rId4" display="Wo@da LK-403" xr:uid="{00000000-0004-0000-0700-000003000000}"/>
    <hyperlink ref="Q75" r:id="rId5" display="Wo@da LK-302" xr:uid="{00000000-0004-0000-0700-000004000000}"/>
    <hyperlink ref="Q74" r:id="rId6" display="Wo@da LK-302" xr:uid="{00000000-0004-0000-0700-000005000000}"/>
    <hyperlink ref="Q73" r:id="rId7" display="Wo@da LK-302" xr:uid="{00000000-0004-0000-0700-000006000000}"/>
    <hyperlink ref="Q91" r:id="rId8" display="Wo@da LK-403" xr:uid="{00000000-0004-0000-0700-000007000000}"/>
    <hyperlink ref="Q90" r:id="rId9" display="Wo@da LK-403" xr:uid="{00000000-0004-0000-0700-000008000000}"/>
    <hyperlink ref="Q89" r:id="rId10" display="Wo@da LK-403" xr:uid="{00000000-0004-0000-0700-000009000000}"/>
    <hyperlink ref="Q96" r:id="rId11" display="Wo@da LK-302" xr:uid="{00000000-0004-0000-0700-00000A000000}"/>
    <hyperlink ref="Q101" r:id="rId12" display="Wo@da LK-302" xr:uid="{00000000-0004-0000-0700-00000B000000}"/>
    <hyperlink ref="Q102" r:id="rId13" display="Wo@da LK-302" xr:uid="{00000000-0004-0000-0700-00000C000000}"/>
    <hyperlink ref="Q103" r:id="rId14" display="Wo@da LK-302" xr:uid="{00000000-0004-0000-0700-00000D000000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4969"/>
  <sheetViews>
    <sheetView zoomScaleNormal="100" workbookViewId="0">
      <selection activeCell="F17" sqref="F17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44748</v>
      </c>
      <c r="AF1" t="s">
        <v>170</v>
      </c>
      <c r="AN1" t="s">
        <v>171</v>
      </c>
      <c r="AO1" s="337">
        <f ca="1">TODAY()</f>
        <v>44748</v>
      </c>
      <c r="AP1" s="337"/>
      <c r="AQ1" s="337"/>
    </row>
    <row r="2" spans="1:43" x14ac:dyDescent="0.2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2928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44710</v>
      </c>
      <c r="Q3" s="147">
        <v>288</v>
      </c>
      <c r="R3" s="147">
        <v>0</v>
      </c>
      <c r="S3" s="98">
        <v>44743</v>
      </c>
      <c r="T3" s="98"/>
      <c r="U3" s="97">
        <v>168</v>
      </c>
      <c r="V3" s="97"/>
      <c r="W3" s="97">
        <v>120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Đen gót xanh đen</v>
      </c>
      <c r="D4" s="9"/>
      <c r="E4" s="9"/>
      <c r="F4" s="9"/>
      <c r="G4" s="42">
        <f t="array" ref="G4">INDEX(O:T,MATCH(1,(B4=O:O)*(C4=R:R),0),6)</f>
        <v>228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2150</v>
      </c>
      <c r="O4" s="97"/>
      <c r="P4" s="98">
        <v>44735</v>
      </c>
      <c r="Q4" s="147">
        <v>228</v>
      </c>
      <c r="R4" s="147">
        <v>0</v>
      </c>
      <c r="S4" s="98">
        <v>44744</v>
      </c>
      <c r="T4" s="98"/>
      <c r="U4" s="97">
        <v>144</v>
      </c>
      <c r="V4" s="97"/>
      <c r="W4" s="97">
        <v>84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312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1421</v>
      </c>
      <c r="N5" s="97" t="s">
        <v>39</v>
      </c>
      <c r="O5" s="97"/>
      <c r="P5" s="98">
        <v>44742</v>
      </c>
      <c r="Q5" s="147">
        <v>312</v>
      </c>
      <c r="R5" s="147">
        <v>0</v>
      </c>
      <c r="S5" s="98">
        <v>44743</v>
      </c>
      <c r="T5" s="98"/>
      <c r="U5" s="97">
        <v>204</v>
      </c>
      <c r="V5" s="97"/>
      <c r="W5" s="97">
        <v>108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312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312</v>
      </c>
      <c r="R6" s="147">
        <v>0</v>
      </c>
      <c r="S6" s="98">
        <v>44743</v>
      </c>
      <c r="T6" s="98"/>
      <c r="U6" s="97">
        <v>168</v>
      </c>
      <c r="V6" s="97"/>
      <c r="W6" s="97">
        <v>144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44733</v>
      </c>
      <c r="Q7" s="147">
        <v>360</v>
      </c>
      <c r="R7" s="147">
        <v>3</v>
      </c>
      <c r="S7" s="98">
        <v>44743</v>
      </c>
      <c r="T7" s="98"/>
      <c r="U7" s="97">
        <v>204</v>
      </c>
      <c r="V7" s="97"/>
      <c r="W7" s="97">
        <v>156</v>
      </c>
      <c r="X7" s="99"/>
      <c r="Y7" s="99">
        <v>3</v>
      </c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Polo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468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28</v>
      </c>
      <c r="O8" s="97"/>
      <c r="P8" s="98">
        <v>44742</v>
      </c>
      <c r="Q8" s="147">
        <v>468</v>
      </c>
      <c r="R8" s="147">
        <v>0</v>
      </c>
      <c r="S8" s="98">
        <v>44743</v>
      </c>
      <c r="T8" s="98"/>
      <c r="U8" s="97">
        <v>288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1500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44738</v>
      </c>
      <c r="Q9" s="147">
        <v>300</v>
      </c>
      <c r="R9" s="147">
        <v>0</v>
      </c>
      <c r="S9" s="98">
        <v>44743</v>
      </c>
      <c r="T9" s="98"/>
      <c r="U9" s="97">
        <v>216</v>
      </c>
      <c r="V9" s="97"/>
      <c r="W9" s="97">
        <v>84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636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44741</v>
      </c>
      <c r="Q10" s="147">
        <v>468</v>
      </c>
      <c r="R10" s="147">
        <v>1</v>
      </c>
      <c r="S10" s="98">
        <v>44743</v>
      </c>
      <c r="T10" s="98"/>
      <c r="U10" s="97">
        <v>288</v>
      </c>
      <c r="V10" s="97"/>
      <c r="W10" s="97">
        <v>180</v>
      </c>
      <c r="X10" s="99">
        <v>1</v>
      </c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1176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44741</v>
      </c>
      <c r="Q11" s="147">
        <v>492</v>
      </c>
      <c r="R11" s="147">
        <v>2</v>
      </c>
      <c r="S11" s="98">
        <v>44743</v>
      </c>
      <c r="T11" s="98"/>
      <c r="U11" s="97">
        <v>300</v>
      </c>
      <c r="V11" s="97"/>
      <c r="W11" s="97">
        <v>192</v>
      </c>
      <c r="X11" s="99">
        <v>2</v>
      </c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348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44738</v>
      </c>
      <c r="Q12" s="147">
        <v>60</v>
      </c>
      <c r="R12" s="147">
        <v>98</v>
      </c>
      <c r="S12" s="98">
        <v>44743</v>
      </c>
      <c r="T12" s="98"/>
      <c r="U12" s="97">
        <v>60</v>
      </c>
      <c r="V12" s="97"/>
      <c r="W12" s="97"/>
      <c r="X12" s="99">
        <v>98</v>
      </c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432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28</v>
      </c>
      <c r="O13" s="97"/>
      <c r="P13" s="98">
        <v>44742</v>
      </c>
      <c r="Q13" s="147">
        <v>432</v>
      </c>
      <c r="R13" s="147">
        <v>0</v>
      </c>
      <c r="S13" s="98">
        <v>44743</v>
      </c>
      <c r="T13" s="98"/>
      <c r="U13" s="97">
        <v>252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468</v>
      </c>
      <c r="H14" s="42">
        <f t="array" ref="H14">INDEX(O:T,MATCH(1,(B14=O:O)*(C14=R:R),0),5)</f>
        <v>360</v>
      </c>
      <c r="I14" s="42"/>
      <c r="J14" s="9"/>
      <c r="L14" s="97" t="s">
        <v>40</v>
      </c>
      <c r="M14" s="97" t="s">
        <v>1601</v>
      </c>
      <c r="N14" s="97" t="s">
        <v>25</v>
      </c>
      <c r="O14" s="97"/>
      <c r="P14" s="98">
        <v>44741</v>
      </c>
      <c r="Q14" s="147">
        <v>348</v>
      </c>
      <c r="R14" s="147">
        <v>7</v>
      </c>
      <c r="S14" s="98">
        <v>44743</v>
      </c>
      <c r="T14" s="98"/>
      <c r="U14" s="97">
        <v>204</v>
      </c>
      <c r="V14" s="97"/>
      <c r="W14" s="97">
        <v>144</v>
      </c>
      <c r="X14" s="99">
        <v>7</v>
      </c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328" t="s">
        <v>1071</v>
      </c>
      <c r="N15" s="97" t="s">
        <v>18</v>
      </c>
      <c r="O15" s="97"/>
      <c r="P15" s="98">
        <v>44710</v>
      </c>
      <c r="Q15" s="147">
        <v>0</v>
      </c>
      <c r="R15" s="147">
        <v>0</v>
      </c>
      <c r="S15" s="98">
        <v>44743</v>
      </c>
      <c r="T15" s="98"/>
      <c r="U15" s="97"/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540</v>
      </c>
      <c r="R16" s="147">
        <v>0</v>
      </c>
      <c r="S16" s="98">
        <v>44743</v>
      </c>
      <c r="T16" s="98"/>
      <c r="U16" s="97">
        <v>300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44741</v>
      </c>
      <c r="Q17" s="147">
        <v>288</v>
      </c>
      <c r="R17" s="147">
        <v>0</v>
      </c>
      <c r="S17" s="98">
        <v>44743</v>
      </c>
      <c r="T17" s="98"/>
      <c r="U17" s="97">
        <v>192</v>
      </c>
      <c r="V17" s="97"/>
      <c r="W17" s="97">
        <v>96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44741</v>
      </c>
      <c r="Q18" s="147">
        <v>408</v>
      </c>
      <c r="R18" s="147">
        <v>0</v>
      </c>
      <c r="S18" s="98">
        <v>44743</v>
      </c>
      <c r="T18" s="98"/>
      <c r="U18" s="97">
        <v>240</v>
      </c>
      <c r="V18" s="97"/>
      <c r="W18" s="97">
        <v>168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492</v>
      </c>
      <c r="R19" s="147">
        <v>1</v>
      </c>
      <c r="S19" s="98">
        <v>44743</v>
      </c>
      <c r="T19" s="98"/>
      <c r="U19" s="97">
        <v>264</v>
      </c>
      <c r="V19" s="97"/>
      <c r="W19" s="97">
        <v>228</v>
      </c>
      <c r="X19" s="99">
        <v>1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28</v>
      </c>
      <c r="O20" s="97"/>
      <c r="P20" s="98">
        <v>44741</v>
      </c>
      <c r="Q20" s="147">
        <v>240</v>
      </c>
      <c r="R20" s="147">
        <v>2</v>
      </c>
      <c r="S20" s="98">
        <v>44743</v>
      </c>
      <c r="T20" s="98"/>
      <c r="U20" s="97">
        <v>156</v>
      </c>
      <c r="V20" s="97"/>
      <c r="W20" s="97">
        <v>84</v>
      </c>
      <c r="X20" s="99">
        <v>2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1163</v>
      </c>
      <c r="N21" s="97" t="s">
        <v>39</v>
      </c>
      <c r="O21" s="97"/>
      <c r="P21" s="98">
        <v>44735</v>
      </c>
      <c r="Q21" s="147">
        <v>180</v>
      </c>
      <c r="R21" s="147">
        <v>0</v>
      </c>
      <c r="S21" s="98">
        <v>44743</v>
      </c>
      <c r="T21" s="98"/>
      <c r="U21" s="97">
        <v>108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120</v>
      </c>
      <c r="R22" s="147">
        <v>0</v>
      </c>
      <c r="S22" s="98">
        <v>44746</v>
      </c>
      <c r="T22" s="98"/>
      <c r="U22" s="97">
        <v>72</v>
      </c>
      <c r="V22" s="97"/>
      <c r="W22" s="97">
        <v>48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156</v>
      </c>
      <c r="R23" s="147">
        <v>0</v>
      </c>
      <c r="S23" s="98">
        <v>44744</v>
      </c>
      <c r="T23" s="98"/>
      <c r="U23" s="97">
        <v>84</v>
      </c>
      <c r="V23" s="97"/>
      <c r="W23" s="97">
        <v>72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108</v>
      </c>
      <c r="R24" s="147">
        <v>0</v>
      </c>
      <c r="S24" s="98">
        <v>44744</v>
      </c>
      <c r="T24" s="98"/>
      <c r="U24" s="97">
        <v>60</v>
      </c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44741</v>
      </c>
      <c r="Q25" s="147">
        <v>348</v>
      </c>
      <c r="R25" s="147">
        <v>0</v>
      </c>
      <c r="S25" s="98">
        <v>44743</v>
      </c>
      <c r="T25" s="98"/>
      <c r="U25" s="97">
        <v>180</v>
      </c>
      <c r="V25" s="97"/>
      <c r="W25" s="97">
        <v>168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44741</v>
      </c>
      <c r="Q26" s="147">
        <v>372</v>
      </c>
      <c r="R26" s="147">
        <v>0</v>
      </c>
      <c r="S26" s="98">
        <v>44743</v>
      </c>
      <c r="T26" s="98"/>
      <c r="U26" s="97">
        <v>204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44738</v>
      </c>
      <c r="Q27" s="147">
        <v>324</v>
      </c>
      <c r="R27" s="147">
        <v>0</v>
      </c>
      <c r="S27" s="98">
        <v>44743</v>
      </c>
      <c r="T27" s="98"/>
      <c r="U27" s="97">
        <v>180</v>
      </c>
      <c r="V27" s="97"/>
      <c r="W27" s="97">
        <v>144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1332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44741</v>
      </c>
      <c r="Q28" s="147">
        <v>300</v>
      </c>
      <c r="R28" s="147">
        <v>0</v>
      </c>
      <c r="S28" s="98">
        <v>44743</v>
      </c>
      <c r="T28" s="98"/>
      <c r="U28" s="97">
        <v>180</v>
      </c>
      <c r="V28" s="97"/>
      <c r="W28" s="97">
        <v>120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540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1308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2626</v>
      </c>
      <c r="O30" s="97"/>
      <c r="P30" s="98">
        <v>44727</v>
      </c>
      <c r="Q30" s="147">
        <v>168</v>
      </c>
      <c r="R30" s="147">
        <v>0</v>
      </c>
      <c r="S30" s="98">
        <v>44743</v>
      </c>
      <c r="T30" s="98"/>
      <c r="U30" s="97">
        <v>120</v>
      </c>
      <c r="V30" s="97"/>
      <c r="W30" s="97">
        <v>48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1308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28</v>
      </c>
      <c r="O31" s="97"/>
      <c r="P31" s="98">
        <v>44716</v>
      </c>
      <c r="Q31" s="147">
        <v>420</v>
      </c>
      <c r="R31" s="147">
        <v>0</v>
      </c>
      <c r="S31" s="98">
        <v>44743</v>
      </c>
      <c r="T31" s="98"/>
      <c r="U31" s="97">
        <v>264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972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168</v>
      </c>
      <c r="R32" s="147">
        <v>0</v>
      </c>
      <c r="S32" s="98">
        <v>44743</v>
      </c>
      <c r="T32" s="98"/>
      <c r="U32" s="97">
        <v>132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1308</v>
      </c>
      <c r="H33" s="42">
        <f t="array" ref="H33">INDEX(O:T,MATCH(1,(B33=O:O)*(C33=R:R),0),5)</f>
        <v>1200</v>
      </c>
      <c r="I33" s="42"/>
      <c r="J33" s="9"/>
      <c r="L33" s="97" t="s">
        <v>68</v>
      </c>
      <c r="M33" s="97" t="s">
        <v>1166</v>
      </c>
      <c r="N33" s="97" t="s">
        <v>28</v>
      </c>
      <c r="O33" s="97"/>
      <c r="P33" s="98">
        <v>44741</v>
      </c>
      <c r="Q33" s="147">
        <v>648</v>
      </c>
      <c r="R33" s="147">
        <v>0</v>
      </c>
      <c r="S33" s="98">
        <v>44743</v>
      </c>
      <c r="T33" s="98"/>
      <c r="U33" s="97">
        <v>252</v>
      </c>
      <c r="V33" s="97"/>
      <c r="W33" s="97">
        <v>396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Woada LK-301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240</v>
      </c>
      <c r="H34" s="42">
        <f t="array" ref="H34">INDEX(O:T,MATCH(1,(B34=O:O)*(C34=R:R),0),5)</f>
        <v>270</v>
      </c>
      <c r="I34" s="42"/>
      <c r="J34" s="9"/>
      <c r="L34" s="97" t="s">
        <v>70</v>
      </c>
      <c r="M34" s="97" t="s">
        <v>1166</v>
      </c>
      <c r="N34" s="97" t="s">
        <v>18</v>
      </c>
      <c r="O34" s="97"/>
      <c r="P34" s="98">
        <v>44741</v>
      </c>
      <c r="Q34" s="147">
        <v>648</v>
      </c>
      <c r="R34" s="147">
        <v>0</v>
      </c>
      <c r="S34" s="98">
        <v>44743</v>
      </c>
      <c r="T34" s="98"/>
      <c r="U34" s="97">
        <v>240</v>
      </c>
      <c r="V34" s="97"/>
      <c r="W34" s="97">
        <v>408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Woada LK-301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564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816</v>
      </c>
      <c r="R35" s="147">
        <v>0</v>
      </c>
      <c r="S35" s="98">
        <v>44743</v>
      </c>
      <c r="T35" s="98"/>
      <c r="U35" s="97">
        <v>312</v>
      </c>
      <c r="V35" s="97"/>
      <c r="W35" s="97">
        <v>504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25</v>
      </c>
      <c r="O36" s="97"/>
      <c r="P36" s="98">
        <v>44718</v>
      </c>
      <c r="Q36" s="147">
        <v>420</v>
      </c>
      <c r="R36" s="147">
        <v>0</v>
      </c>
      <c r="S36" s="98">
        <v>44743</v>
      </c>
      <c r="T36" s="98"/>
      <c r="U36" s="97">
        <v>156</v>
      </c>
      <c r="V36" s="97"/>
      <c r="W36" s="97">
        <v>264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108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44649</v>
      </c>
      <c r="Q37" s="147">
        <v>324</v>
      </c>
      <c r="R37" s="147">
        <v>0</v>
      </c>
      <c r="S37" s="98">
        <v>44744</v>
      </c>
      <c r="T37" s="98"/>
      <c r="U37" s="97">
        <v>132</v>
      </c>
      <c r="V37" s="97"/>
      <c r="W37" s="97">
        <v>192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468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44738</v>
      </c>
      <c r="Q38" s="147">
        <v>612</v>
      </c>
      <c r="R38" s="147">
        <v>0</v>
      </c>
      <c r="S38" s="98">
        <v>44743</v>
      </c>
      <c r="T38" s="98"/>
      <c r="U38" s="97">
        <v>216</v>
      </c>
      <c r="V38" s="97"/>
      <c r="W38" s="97">
        <v>396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480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28</v>
      </c>
      <c r="O39" s="97"/>
      <c r="P39" s="98">
        <v>44734</v>
      </c>
      <c r="Q39" s="147">
        <v>660</v>
      </c>
      <c r="R39" s="147">
        <v>0</v>
      </c>
      <c r="S39" s="98">
        <v>44743</v>
      </c>
      <c r="T39" s="98"/>
      <c r="U39" s="97">
        <v>264</v>
      </c>
      <c r="V39" s="97"/>
      <c r="W39" s="97">
        <v>396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372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18</v>
      </c>
      <c r="O40" s="97"/>
      <c r="P40" s="98">
        <v>44739</v>
      </c>
      <c r="Q40" s="147">
        <v>732</v>
      </c>
      <c r="R40" s="147">
        <v>0</v>
      </c>
      <c r="S40" s="98">
        <v>44743</v>
      </c>
      <c r="T40" s="98"/>
      <c r="U40" s="97">
        <v>300</v>
      </c>
      <c r="V40" s="97"/>
      <c r="W40" s="97">
        <v>432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840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44710</v>
      </c>
      <c r="Q41" s="147">
        <v>672</v>
      </c>
      <c r="R41" s="147">
        <v>0</v>
      </c>
      <c r="S41" s="98">
        <v>44743</v>
      </c>
      <c r="T41" s="98"/>
      <c r="U41" s="97">
        <v>264</v>
      </c>
      <c r="V41" s="97"/>
      <c r="W41" s="97">
        <v>408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2081</v>
      </c>
      <c r="N42" s="97" t="s">
        <v>39</v>
      </c>
      <c r="O42" s="97"/>
      <c r="P42" s="98">
        <v>44741</v>
      </c>
      <c r="Q42" s="147">
        <v>852</v>
      </c>
      <c r="R42" s="147">
        <v>0</v>
      </c>
      <c r="S42" s="98">
        <v>44743</v>
      </c>
      <c r="T42" s="98"/>
      <c r="U42" s="97">
        <v>312</v>
      </c>
      <c r="V42" s="97"/>
      <c r="W42" s="97">
        <v>540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44710</v>
      </c>
      <c r="Q43" s="147">
        <v>528</v>
      </c>
      <c r="R43" s="147">
        <v>0</v>
      </c>
      <c r="S43" s="98">
        <v>44743</v>
      </c>
      <c r="T43" s="98"/>
      <c r="U43" s="97">
        <v>216</v>
      </c>
      <c r="V43" s="97"/>
      <c r="W43" s="97">
        <v>312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1088</v>
      </c>
      <c r="N44" s="97" t="s">
        <v>2594</v>
      </c>
      <c r="O44" s="97"/>
      <c r="P44" s="98">
        <v>44727</v>
      </c>
      <c r="Q44" s="147">
        <v>156</v>
      </c>
      <c r="R44" s="147">
        <v>0</v>
      </c>
      <c r="S44" s="98">
        <v>44743</v>
      </c>
      <c r="T44" s="98"/>
      <c r="U44" s="97">
        <v>120</v>
      </c>
      <c r="V44" s="97"/>
      <c r="W44" s="97">
        <v>36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44710</v>
      </c>
      <c r="Q45" s="147">
        <v>276</v>
      </c>
      <c r="R45" s="147">
        <v>0</v>
      </c>
      <c r="S45" s="98">
        <v>44743</v>
      </c>
      <c r="T45" s="98"/>
      <c r="U45" s="97">
        <v>180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91</v>
      </c>
      <c r="M46" s="252" t="s">
        <v>1071</v>
      </c>
      <c r="N46" s="97" t="s">
        <v>28</v>
      </c>
      <c r="O46" s="97"/>
      <c r="P46" s="98">
        <v>44736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93</v>
      </c>
      <c r="M47" s="97" t="s">
        <v>1691</v>
      </c>
      <c r="N47" s="97" t="s">
        <v>18</v>
      </c>
      <c r="O47" s="97"/>
      <c r="P47" s="98">
        <v>44686</v>
      </c>
      <c r="Q47" s="147">
        <v>264</v>
      </c>
      <c r="R47" s="147">
        <v>0</v>
      </c>
      <c r="S47" s="98">
        <v>44743</v>
      </c>
      <c r="T47" s="98"/>
      <c r="U47" s="97">
        <v>168</v>
      </c>
      <c r="V47" s="97"/>
      <c r="W47" s="97">
        <v>96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2605</v>
      </c>
      <c r="N48" s="97" t="s">
        <v>25</v>
      </c>
      <c r="O48" s="97"/>
      <c r="P48" s="98">
        <v>44741</v>
      </c>
      <c r="Q48" s="147">
        <v>348</v>
      </c>
      <c r="R48" s="147">
        <v>0</v>
      </c>
      <c r="S48" s="98">
        <v>44743</v>
      </c>
      <c r="T48" s="98"/>
      <c r="U48" s="97">
        <v>180</v>
      </c>
      <c r="V48" s="97"/>
      <c r="W48" s="97">
        <v>168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2605</v>
      </c>
      <c r="N49" s="97" t="s">
        <v>18</v>
      </c>
      <c r="O49" s="97"/>
      <c r="P49" s="98">
        <v>44741</v>
      </c>
      <c r="Q49" s="147">
        <v>588</v>
      </c>
      <c r="R49" s="147">
        <v>0</v>
      </c>
      <c r="S49" s="98">
        <v>44743</v>
      </c>
      <c r="T49" s="98"/>
      <c r="U49" s="97">
        <v>228</v>
      </c>
      <c r="V49" s="97"/>
      <c r="W49" s="97">
        <v>360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96</v>
      </c>
      <c r="M50" s="97" t="s">
        <v>1060</v>
      </c>
      <c r="N50" s="97" t="s">
        <v>18</v>
      </c>
      <c r="O50" s="97"/>
      <c r="P50" s="98">
        <v>44733</v>
      </c>
      <c r="Q50" s="147">
        <v>708</v>
      </c>
      <c r="R50" s="147">
        <v>0</v>
      </c>
      <c r="S50" s="98">
        <v>44743</v>
      </c>
      <c r="T50" s="98"/>
      <c r="U50" s="97">
        <v>312</v>
      </c>
      <c r="V50" s="97"/>
      <c r="W50" s="97">
        <v>396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97</v>
      </c>
      <c r="M51" s="97" t="s">
        <v>2244</v>
      </c>
      <c r="N51" s="97" t="s">
        <v>39</v>
      </c>
      <c r="O51" s="97"/>
      <c r="P51" s="98">
        <v>44741</v>
      </c>
      <c r="Q51" s="147">
        <v>444</v>
      </c>
      <c r="R51" s="147">
        <v>0</v>
      </c>
      <c r="S51" s="98">
        <v>44743</v>
      </c>
      <c r="T51" s="98"/>
      <c r="U51" s="97">
        <v>168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2605</v>
      </c>
      <c r="N52" s="97" t="s">
        <v>28</v>
      </c>
      <c r="O52" s="97"/>
      <c r="P52" s="98">
        <v>44741</v>
      </c>
      <c r="Q52" s="147">
        <v>420</v>
      </c>
      <c r="R52" s="147">
        <v>0</v>
      </c>
      <c r="S52" s="98">
        <v>44743</v>
      </c>
      <c r="T52" s="98"/>
      <c r="U52" s="97">
        <v>180</v>
      </c>
      <c r="V52" s="97"/>
      <c r="W52" s="97">
        <v>240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2605</v>
      </c>
      <c r="N53" s="97" t="s">
        <v>25</v>
      </c>
      <c r="O53" s="97"/>
      <c r="P53" s="98">
        <v>44741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97" t="s">
        <v>2244</v>
      </c>
      <c r="N54" s="97" t="s">
        <v>18</v>
      </c>
      <c r="O54" s="97"/>
      <c r="P54" s="98">
        <v>44741</v>
      </c>
      <c r="Q54" s="147">
        <v>324</v>
      </c>
      <c r="R54" s="147">
        <v>0</v>
      </c>
      <c r="S54" s="98">
        <v>44743</v>
      </c>
      <c r="T54" s="98"/>
      <c r="U54" s="97">
        <v>168</v>
      </c>
      <c r="V54" s="97"/>
      <c r="W54" s="97">
        <v>156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102</v>
      </c>
      <c r="M55" s="324" t="s">
        <v>2259</v>
      </c>
      <c r="N55" s="97" t="s">
        <v>39</v>
      </c>
      <c r="O55" s="97"/>
      <c r="P55" s="98">
        <v>44738</v>
      </c>
      <c r="Q55" s="147">
        <v>396</v>
      </c>
      <c r="R55" s="147">
        <v>0</v>
      </c>
      <c r="S55" s="98">
        <v>44743</v>
      </c>
      <c r="T55" s="98"/>
      <c r="U55" s="97">
        <v>144</v>
      </c>
      <c r="V55" s="97"/>
      <c r="W55" s="97">
        <v>252</v>
      </c>
      <c r="X55" s="99"/>
      <c r="Y55" s="99"/>
      <c r="Z55" s="97"/>
      <c r="AA55" s="97"/>
      <c r="AB55" s="97"/>
      <c r="AF55" s="338" t="s">
        <v>187</v>
      </c>
      <c r="AG55" s="339"/>
      <c r="AH55" s="339"/>
      <c r="AI55" s="339"/>
      <c r="AJ55" s="339"/>
      <c r="AK55" s="339"/>
      <c r="AL55" s="339"/>
      <c r="AM55" s="339"/>
      <c r="AN55" s="339"/>
      <c r="AO55" s="339"/>
      <c r="AP55" s="339"/>
      <c r="AQ55" s="339"/>
    </row>
    <row r="56" spans="1:43" x14ac:dyDescent="0.2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2259</v>
      </c>
      <c r="N56" s="97" t="s">
        <v>39</v>
      </c>
      <c r="O56" s="97"/>
      <c r="P56" s="98">
        <v>44738</v>
      </c>
      <c r="Q56" s="147">
        <v>372</v>
      </c>
      <c r="R56" s="147">
        <v>0</v>
      </c>
      <c r="S56" s="98">
        <v>44743</v>
      </c>
      <c r="T56" s="98"/>
      <c r="U56" s="97">
        <v>144</v>
      </c>
      <c r="V56" s="97"/>
      <c r="W56" s="97">
        <v>228</v>
      </c>
      <c r="X56" s="99"/>
      <c r="Y56" s="99"/>
      <c r="Z56" s="97"/>
      <c r="AA56" s="97"/>
      <c r="AB56" s="97"/>
      <c r="AF56" s="49"/>
      <c r="AG56" s="50"/>
      <c r="AH56" s="339" t="s">
        <v>188</v>
      </c>
      <c r="AI56" s="339"/>
      <c r="AJ56" s="339"/>
      <c r="AK56" s="339"/>
      <c r="AL56" s="339"/>
      <c r="AM56" s="339"/>
      <c r="AN56" s="339"/>
      <c r="AO56" s="339"/>
      <c r="AP56" s="339"/>
      <c r="AQ56" s="339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88</v>
      </c>
      <c r="M57" s="97" t="s">
        <v>2592</v>
      </c>
      <c r="N57" s="97" t="s">
        <v>18</v>
      </c>
      <c r="O57" s="97"/>
      <c r="P57" s="98">
        <v>44718</v>
      </c>
      <c r="Q57" s="147">
        <v>0</v>
      </c>
      <c r="R57" s="147">
        <v>0</v>
      </c>
      <c r="S57" s="98">
        <v>44748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Beyono TC Dày</v>
      </c>
      <c r="C58" s="9" t="str">
        <f t="shared" si="7"/>
        <v>Đỏ gót đen</v>
      </c>
      <c r="D58" s="9"/>
      <c r="E58" s="9"/>
      <c r="F58" s="9"/>
      <c r="G58" s="42">
        <f t="array" ref="G58">INDEX(O:T,MATCH(1,(B58=O:O)*(C58=R:R),0),6)</f>
        <v>516</v>
      </c>
      <c r="H58" s="42">
        <f t="array" ref="H58">INDEX(O:T,MATCH(1,(B58=O:O)*(C58=R:R),0),5)</f>
        <v>500</v>
      </c>
      <c r="I58" s="42"/>
      <c r="J58" s="9"/>
      <c r="L58" s="97" t="s">
        <v>103</v>
      </c>
      <c r="M58" s="324" t="s">
        <v>2259</v>
      </c>
      <c r="N58" s="97" t="s">
        <v>39</v>
      </c>
      <c r="O58" s="97"/>
      <c r="P58" s="98">
        <v>44738</v>
      </c>
      <c r="Q58" s="147">
        <v>60</v>
      </c>
      <c r="R58" s="147">
        <v>0</v>
      </c>
      <c r="S58" s="98">
        <v>44747</v>
      </c>
      <c r="T58" s="98"/>
      <c r="U58" s="97">
        <v>24</v>
      </c>
      <c r="V58" s="97"/>
      <c r="W58" s="97">
        <v>36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924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516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804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648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1272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Polo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456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684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1500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Trắng</v>
      </c>
      <c r="D67" s="9"/>
      <c r="E67" s="9"/>
      <c r="F67" s="9"/>
      <c r="G67" s="42">
        <f t="array" ref="G67">INDEX(O:T,MATCH(1,(B67=O:O)*(C67=R:R),0),6)</f>
        <v>1212</v>
      </c>
      <c r="H67" s="42">
        <f t="array" ref="H67">INDEX(O:T,MATCH(1,(B67=O:O)*(C67=R:R),0),5)</f>
        <v>240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732</v>
      </c>
      <c r="H68" s="42">
        <f t="array" ref="H68">INDEX(O:T,MATCH(1,(B68=O:O)*(C68=R:R),0),5)</f>
        <v>600</v>
      </c>
      <c r="I68" s="42"/>
      <c r="J68" s="9"/>
      <c r="N68" s="252" t="s">
        <v>2564</v>
      </c>
      <c r="O68" s="97" t="s">
        <v>1691</v>
      </c>
      <c r="P68" s="253">
        <v>44686</v>
      </c>
      <c r="Q68" s="254"/>
      <c r="R68" s="252" t="s">
        <v>18</v>
      </c>
      <c r="S68" s="255">
        <v>360</v>
      </c>
      <c r="T68" s="255">
        <v>876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2928</v>
      </c>
      <c r="H69" s="42">
        <f t="array" ref="H69">INDEX(O:T,MATCH(1,(B69=O:O)*(C69=R:R),0),5)</f>
        <v>600</v>
      </c>
      <c r="I69" s="42"/>
      <c r="J69" s="9"/>
      <c r="N69" s="252" t="s">
        <v>2728</v>
      </c>
      <c r="O69" s="252" t="s">
        <v>1088</v>
      </c>
      <c r="P69" s="253">
        <v>44727</v>
      </c>
      <c r="Q69" s="254"/>
      <c r="R69" s="252" t="s">
        <v>2626</v>
      </c>
      <c r="S69" s="255">
        <v>500</v>
      </c>
      <c r="T69" s="255">
        <v>516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960</v>
      </c>
      <c r="H70" s="42">
        <f t="array" ref="H70">INDEX(O:T,MATCH(1,(B70=O:O)*(C70=R:R),0),5)</f>
        <v>600</v>
      </c>
      <c r="I70" s="42"/>
      <c r="J70" s="9"/>
      <c r="N70" s="252" t="s">
        <v>2728</v>
      </c>
      <c r="O70" s="252" t="s">
        <v>1088</v>
      </c>
      <c r="P70" s="253">
        <v>44727</v>
      </c>
      <c r="Q70" s="254"/>
      <c r="R70" s="274" t="s">
        <v>2594</v>
      </c>
      <c r="S70" s="255">
        <v>500</v>
      </c>
      <c r="T70" s="255">
        <v>240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1332</v>
      </c>
      <c r="H71" s="42">
        <f t="array" ref="H71">INDEX(O:T,MATCH(1,(B71=O:O)*(C71=R:R),0),5)</f>
        <v>600</v>
      </c>
      <c r="I71" s="42"/>
      <c r="J71" s="9"/>
      <c r="N71" s="252" t="s">
        <v>2722</v>
      </c>
      <c r="O71" s="97" t="s">
        <v>1198</v>
      </c>
      <c r="P71" s="253">
        <v>44733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3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2736</v>
      </c>
      <c r="O72" s="97" t="s">
        <v>1113</v>
      </c>
      <c r="P72" s="253">
        <v>44738</v>
      </c>
      <c r="Q72" s="254"/>
      <c r="R72" s="252" t="s">
        <v>28</v>
      </c>
      <c r="S72" s="255">
        <v>600</v>
      </c>
      <c r="T72" s="255">
        <v>1500</v>
      </c>
      <c r="U72" s="255">
        <v>2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2722</v>
      </c>
      <c r="O73" s="97" t="s">
        <v>1060</v>
      </c>
      <c r="P73" s="253">
        <v>44733</v>
      </c>
      <c r="Q73" s="254"/>
      <c r="R73" s="252" t="s">
        <v>18</v>
      </c>
      <c r="S73" s="255">
        <v>360</v>
      </c>
      <c r="T73" s="255">
        <v>1008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2386</v>
      </c>
      <c r="O74" s="97" t="s">
        <v>1413</v>
      </c>
      <c r="P74" s="253">
        <v>44649</v>
      </c>
      <c r="Q74" s="254"/>
      <c r="R74" s="252" t="s">
        <v>18</v>
      </c>
      <c r="S74" s="255">
        <v>360</v>
      </c>
      <c r="T74" s="255">
        <v>684</v>
      </c>
      <c r="U74" s="255">
        <v>1</v>
      </c>
      <c r="V74" s="255"/>
      <c r="W74" s="256"/>
      <c r="X74" s="257">
        <v>1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2752</v>
      </c>
      <c r="O75" s="97" t="s">
        <v>1421</v>
      </c>
      <c r="P75" s="253">
        <v>44742</v>
      </c>
      <c r="Q75" s="254"/>
      <c r="R75" s="252" t="s">
        <v>39</v>
      </c>
      <c r="S75" s="255">
        <v>240</v>
      </c>
      <c r="T75" s="255">
        <v>312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2752</v>
      </c>
      <c r="O76" s="97" t="s">
        <v>1421</v>
      </c>
      <c r="P76" s="253">
        <v>44742</v>
      </c>
      <c r="Q76" s="254"/>
      <c r="R76" s="252" t="s">
        <v>28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2737</v>
      </c>
      <c r="O77" s="97" t="s">
        <v>2259</v>
      </c>
      <c r="P77" s="253">
        <v>44738</v>
      </c>
      <c r="Q77" s="269"/>
      <c r="R77" s="252" t="s">
        <v>39</v>
      </c>
      <c r="S77" s="255">
        <v>3257</v>
      </c>
      <c r="T77" s="255">
        <v>1224</v>
      </c>
      <c r="U77" s="255">
        <v>3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2729</v>
      </c>
      <c r="O78" s="97" t="s">
        <v>2298</v>
      </c>
      <c r="P78" s="253">
        <v>44736</v>
      </c>
      <c r="Q78" s="269"/>
      <c r="R78" s="252" t="s">
        <v>79</v>
      </c>
      <c r="S78" s="255">
        <v>360</v>
      </c>
      <c r="T78" s="255">
        <v>516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240</v>
      </c>
      <c r="H79" s="42">
        <f t="array" ref="H79">INDEX(O:T,MATCH(1,(B79=O:O)*(C79=R:R),0),5)</f>
        <v>500</v>
      </c>
      <c r="I79" s="42"/>
      <c r="J79" s="9"/>
      <c r="N79" s="252" t="s">
        <v>2729</v>
      </c>
      <c r="O79" s="97" t="s">
        <v>2298</v>
      </c>
      <c r="P79" s="253">
        <v>44736</v>
      </c>
      <c r="Q79" s="269"/>
      <c r="R79" s="252" t="s">
        <v>135</v>
      </c>
      <c r="S79" s="255">
        <v>360</v>
      </c>
      <c r="T79" s="255">
        <v>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456</v>
      </c>
      <c r="H80" s="42">
        <f t="array" ref="H80">INDEX(O:T,MATCH(1,(B80=O:O)*(C80=R:R),0),5)</f>
        <v>756</v>
      </c>
      <c r="I80" s="42"/>
      <c r="J80" s="9"/>
      <c r="M80" s="53"/>
      <c r="N80" s="252" t="s">
        <v>2680</v>
      </c>
      <c r="O80" s="317" t="s">
        <v>1146</v>
      </c>
      <c r="P80" s="253">
        <v>44716</v>
      </c>
      <c r="Q80" s="269"/>
      <c r="R80" s="252" t="s">
        <v>28</v>
      </c>
      <c r="S80" s="255">
        <v>600</v>
      </c>
      <c r="T80" s="255">
        <v>924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2928</v>
      </c>
      <c r="H81" s="42">
        <f t="array" ref="H81">INDEX(O:T,MATCH(1,(B81=O:O)*(C81=R:R),0),5)</f>
        <v>600</v>
      </c>
      <c r="I81" s="42"/>
      <c r="J81" s="9"/>
      <c r="N81" s="252" t="s">
        <v>2740</v>
      </c>
      <c r="O81" s="317" t="s">
        <v>772</v>
      </c>
      <c r="P81" s="253">
        <v>44739</v>
      </c>
      <c r="Q81" s="254"/>
      <c r="R81" s="252" t="s">
        <v>28</v>
      </c>
      <c r="S81" s="255">
        <v>600</v>
      </c>
      <c r="T81" s="255">
        <v>972</v>
      </c>
      <c r="U81" s="255">
        <v>1</v>
      </c>
      <c r="V81" s="255"/>
      <c r="W81" s="256"/>
      <c r="X81" s="257">
        <v>4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2692</v>
      </c>
      <c r="O82" s="252" t="s">
        <v>1510</v>
      </c>
      <c r="P82" s="253">
        <v>44721</v>
      </c>
      <c r="Q82" s="254"/>
      <c r="R82" s="252" t="s">
        <v>25</v>
      </c>
      <c r="S82" s="255">
        <v>360</v>
      </c>
      <c r="T82" s="255">
        <v>564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876</v>
      </c>
      <c r="H83" s="42">
        <f t="array" ref="H83">INDEX(O:T,MATCH(1,(B83=O:O)*(C83=R:R),0),5)</f>
        <v>360</v>
      </c>
      <c r="I83" s="42"/>
      <c r="J83" s="9"/>
      <c r="N83" s="252" t="s">
        <v>2745</v>
      </c>
      <c r="O83" s="252" t="s">
        <v>1601</v>
      </c>
      <c r="P83" s="253">
        <v>44741</v>
      </c>
      <c r="Q83" s="254"/>
      <c r="R83" s="252" t="s">
        <v>25</v>
      </c>
      <c r="S83" s="255">
        <v>360</v>
      </c>
      <c r="T83" s="255">
        <v>468</v>
      </c>
      <c r="U83" s="255">
        <v>1</v>
      </c>
      <c r="V83" s="255"/>
      <c r="W83" s="256"/>
      <c r="X83" s="257">
        <v>7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420</v>
      </c>
      <c r="H84" s="42">
        <f t="array" ref="H84">INDEX(O:T,MATCH(1,(B84=O:O)*(C84=R:R),0),5)</f>
        <v>360</v>
      </c>
      <c r="I84" s="42"/>
      <c r="J84" s="9"/>
      <c r="N84" s="252" t="s">
        <v>2724</v>
      </c>
      <c r="O84" s="252" t="s">
        <v>1600</v>
      </c>
      <c r="P84" s="253">
        <v>44734</v>
      </c>
      <c r="Q84" s="254"/>
      <c r="R84" s="252" t="s">
        <v>28</v>
      </c>
      <c r="S84" s="255">
        <v>240</v>
      </c>
      <c r="T84" s="255">
        <v>1212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660</v>
      </c>
      <c r="H85" s="42">
        <f t="array" ref="H85">INDEX(O:T,MATCH(1,(B85=O:O)*(C85=R:R),0),5)</f>
        <v>360</v>
      </c>
      <c r="I85" s="42"/>
      <c r="J85" s="9"/>
      <c r="N85" s="252" t="s">
        <v>2652</v>
      </c>
      <c r="O85" s="252" t="s">
        <v>2592</v>
      </c>
      <c r="P85" s="253">
        <v>44718</v>
      </c>
      <c r="Q85" s="269"/>
      <c r="R85" s="252" t="s">
        <v>18</v>
      </c>
      <c r="S85" s="255">
        <v>756</v>
      </c>
      <c r="T85" s="255">
        <v>456</v>
      </c>
      <c r="U85" s="255">
        <v>1</v>
      </c>
      <c r="V85" s="255"/>
      <c r="W85" s="256"/>
      <c r="X85" s="257">
        <v>2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1008</v>
      </c>
      <c r="H86" s="42">
        <f t="array" ref="H86">INDEX(O:T,MATCH(1,(B86=O:O)*(C86=R:R),0),5)</f>
        <v>360</v>
      </c>
      <c r="I86" s="42"/>
      <c r="J86" s="9"/>
      <c r="N86" s="252" t="s">
        <v>2684</v>
      </c>
      <c r="O86" s="97" t="s">
        <v>239</v>
      </c>
      <c r="P86" s="253">
        <v>44718</v>
      </c>
      <c r="Q86" s="254"/>
      <c r="R86" s="252" t="s">
        <v>25</v>
      </c>
      <c r="S86" s="255">
        <v>240</v>
      </c>
      <c r="T86" s="255">
        <v>456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540</v>
      </c>
      <c r="H87" s="42">
        <f t="array" ref="H87">INDEX(O:T,MATCH(1,(B87=O:O)*(C87=R:R),0),5)</f>
        <v>240</v>
      </c>
      <c r="I87" s="42"/>
      <c r="J87" s="9"/>
      <c r="N87" s="252" t="s">
        <v>2735</v>
      </c>
      <c r="O87" s="97" t="s">
        <v>30</v>
      </c>
      <c r="P87" s="253">
        <v>44738</v>
      </c>
      <c r="Q87" s="254"/>
      <c r="R87" s="252" t="s">
        <v>18</v>
      </c>
      <c r="S87" s="255">
        <v>360</v>
      </c>
      <c r="T87" s="255">
        <v>348</v>
      </c>
      <c r="U87" s="255">
        <v>1</v>
      </c>
      <c r="V87" s="255"/>
      <c r="W87" s="256"/>
      <c r="X87" s="257">
        <v>98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1176</v>
      </c>
      <c r="H88" s="42">
        <f t="array" ref="H88">INDEX(O:T,MATCH(1,(B88=O:O)*(C88=R:R),0),5)</f>
        <v>240</v>
      </c>
      <c r="I88" s="42"/>
      <c r="J88" s="9"/>
      <c r="N88" s="252" t="s">
        <v>2735</v>
      </c>
      <c r="O88" s="97" t="s">
        <v>30</v>
      </c>
      <c r="P88" s="253">
        <v>44738</v>
      </c>
      <c r="Q88" s="254"/>
      <c r="R88" s="252" t="s">
        <v>25</v>
      </c>
      <c r="S88" s="255">
        <v>360</v>
      </c>
      <c r="T88" s="255">
        <v>372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420</v>
      </c>
      <c r="H89" s="42">
        <f t="array" ref="H89">INDEX(O:T,MATCH(1,(B89=O:O)*(C89=R:R),0),5)</f>
        <v>360</v>
      </c>
      <c r="I89" s="42"/>
      <c r="J89" s="9"/>
      <c r="N89" s="252" t="s">
        <v>2741</v>
      </c>
      <c r="O89" s="97" t="s">
        <v>1336</v>
      </c>
      <c r="P89" s="253">
        <v>44739</v>
      </c>
      <c r="Q89" s="269"/>
      <c r="R89" s="252" t="s">
        <v>18</v>
      </c>
      <c r="S89" s="255">
        <v>600</v>
      </c>
      <c r="T89" s="255">
        <v>732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840</v>
      </c>
      <c r="H90" s="42">
        <f t="array" ref="H90">INDEX(O:T,MATCH(1,(B90=O:O)*(C90=R:R),0),5)</f>
        <v>360</v>
      </c>
      <c r="I90" s="42"/>
      <c r="J90" s="9"/>
      <c r="N90" s="252" t="s">
        <v>2738</v>
      </c>
      <c r="O90" s="320" t="s">
        <v>238</v>
      </c>
      <c r="P90" s="253">
        <v>44739</v>
      </c>
      <c r="Q90" s="254"/>
      <c r="R90" s="252" t="s">
        <v>28</v>
      </c>
      <c r="S90" s="255">
        <v>1000</v>
      </c>
      <c r="T90" s="255">
        <v>1272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1224</v>
      </c>
      <c r="H91" s="42">
        <f t="array" ref="H91">INDEX(O:T,MATCH(1,(B91=O:O)*(C91=R:R),0),5)</f>
        <v>3257</v>
      </c>
      <c r="I91" s="42"/>
      <c r="J91" s="9"/>
      <c r="N91" s="252" t="s">
        <v>2732</v>
      </c>
      <c r="O91" s="97" t="s">
        <v>1071</v>
      </c>
      <c r="P91" s="253">
        <v>44736</v>
      </c>
      <c r="Q91" s="254"/>
      <c r="R91" s="252" t="s">
        <v>28</v>
      </c>
      <c r="S91" s="255">
        <v>600</v>
      </c>
      <c r="T91" s="255">
        <v>312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1224</v>
      </c>
      <c r="H92" s="42">
        <f t="array" ref="H92">INDEX(O:T,MATCH(1,(B92=O:O)*(C92=R:R),0),5)</f>
        <v>3257</v>
      </c>
      <c r="I92" s="42"/>
      <c r="J92" s="9"/>
      <c r="N92" s="252" t="s">
        <v>2665</v>
      </c>
      <c r="O92" s="97" t="s">
        <v>1071</v>
      </c>
      <c r="P92" s="253">
        <v>44710</v>
      </c>
      <c r="Q92" s="254"/>
      <c r="R92" s="252" t="s">
        <v>18</v>
      </c>
      <c r="S92" s="255">
        <v>600</v>
      </c>
      <c r="T92" s="255">
        <v>1332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1224</v>
      </c>
      <c r="H93" s="42">
        <f t="array" ref="H93">INDEX(O:T,MATCH(1,(B93=O:O)*(C93=R:R),0),5)</f>
        <v>3257</v>
      </c>
      <c r="I93" s="42"/>
      <c r="J93" s="9"/>
      <c r="N93" s="252" t="s">
        <v>2666</v>
      </c>
      <c r="O93" s="97" t="s">
        <v>1070</v>
      </c>
      <c r="P93" s="253">
        <v>44710</v>
      </c>
      <c r="Q93" s="254"/>
      <c r="R93" s="252" t="s">
        <v>18</v>
      </c>
      <c r="S93" s="255">
        <v>600</v>
      </c>
      <c r="T93" s="255">
        <v>2928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2725</v>
      </c>
      <c r="O94" s="317" t="s">
        <v>1163</v>
      </c>
      <c r="P94" s="253">
        <v>44735</v>
      </c>
      <c r="Q94" s="269"/>
      <c r="R94" s="252" t="s">
        <v>39</v>
      </c>
      <c r="S94" s="255">
        <v>270</v>
      </c>
      <c r="T94" s="255">
        <v>240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2725</v>
      </c>
      <c r="O95" s="317" t="s">
        <v>1332</v>
      </c>
      <c r="P95" s="253">
        <v>44735</v>
      </c>
      <c r="Q95" s="269"/>
      <c r="R95" s="252" t="s">
        <v>25</v>
      </c>
      <c r="S95" s="255">
        <v>270</v>
      </c>
      <c r="T95" s="255">
        <v>108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2725</v>
      </c>
      <c r="O96" s="317" t="s">
        <v>1332</v>
      </c>
      <c r="P96" s="253">
        <v>44735</v>
      </c>
      <c r="Q96" s="329"/>
      <c r="R96" s="274" t="s">
        <v>18</v>
      </c>
      <c r="S96" s="285">
        <v>270</v>
      </c>
      <c r="T96" s="255">
        <v>156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2725</v>
      </c>
      <c r="O97" s="97" t="s">
        <v>2157</v>
      </c>
      <c r="P97" s="253">
        <v>44735</v>
      </c>
      <c r="Q97" s="269"/>
      <c r="R97" s="252" t="s">
        <v>2150</v>
      </c>
      <c r="S97" s="255">
        <v>300</v>
      </c>
      <c r="T97" s="255">
        <v>228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2746</v>
      </c>
      <c r="O98" s="97" t="s">
        <v>1166</v>
      </c>
      <c r="P98" s="253">
        <v>44741</v>
      </c>
      <c r="Q98" s="269"/>
      <c r="R98" s="252" t="s">
        <v>18</v>
      </c>
      <c r="S98" s="255">
        <v>360</v>
      </c>
      <c r="T98" s="255">
        <v>648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2746</v>
      </c>
      <c r="O99" s="97" t="s">
        <v>1166</v>
      </c>
      <c r="P99" s="253">
        <v>44741</v>
      </c>
      <c r="Q99" s="269"/>
      <c r="R99" s="252" t="s">
        <v>28</v>
      </c>
      <c r="S99" s="255">
        <v>240</v>
      </c>
      <c r="T99" s="255">
        <v>804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2747</v>
      </c>
      <c r="O100" s="317" t="s">
        <v>2081</v>
      </c>
      <c r="P100" s="253">
        <v>44741</v>
      </c>
      <c r="Q100" s="254"/>
      <c r="R100" s="252" t="s">
        <v>28</v>
      </c>
      <c r="S100" s="255">
        <v>1200</v>
      </c>
      <c r="T100" s="255">
        <v>1308</v>
      </c>
      <c r="U100" s="255">
        <v>3</v>
      </c>
      <c r="V100" s="255"/>
      <c r="W100" s="256"/>
      <c r="X100" s="257">
        <v>6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2748</v>
      </c>
      <c r="O101" s="97" t="s">
        <v>1438</v>
      </c>
      <c r="P101" s="253">
        <v>44741</v>
      </c>
      <c r="Q101" s="254"/>
      <c r="R101" s="252" t="s">
        <v>39</v>
      </c>
      <c r="S101" s="255">
        <v>240</v>
      </c>
      <c r="T101" s="255">
        <v>540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2748</v>
      </c>
      <c r="O102" s="97" t="s">
        <v>1438</v>
      </c>
      <c r="P102" s="253">
        <v>44741</v>
      </c>
      <c r="Q102" s="254"/>
      <c r="R102" s="252" t="s">
        <v>28</v>
      </c>
      <c r="S102" s="255">
        <v>240</v>
      </c>
      <c r="T102" s="255">
        <v>468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2748</v>
      </c>
      <c r="O103" s="97" t="s">
        <v>1438</v>
      </c>
      <c r="P103" s="253">
        <v>44741</v>
      </c>
      <c r="Q103" s="254"/>
      <c r="R103" s="252" t="s">
        <v>25</v>
      </c>
      <c r="S103" s="285">
        <v>360</v>
      </c>
      <c r="T103" s="255">
        <v>480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2748</v>
      </c>
      <c r="O104" s="97" t="s">
        <v>1438</v>
      </c>
      <c r="P104" s="253">
        <v>44741</v>
      </c>
      <c r="Q104" s="254"/>
      <c r="R104" s="252" t="s">
        <v>18</v>
      </c>
      <c r="S104" s="255">
        <v>360</v>
      </c>
      <c r="T104" s="255">
        <v>840</v>
      </c>
      <c r="U104" s="255">
        <v>2</v>
      </c>
      <c r="V104" s="255"/>
      <c r="W104" s="256"/>
      <c r="X104" s="257">
        <v>4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2749</v>
      </c>
      <c r="O105" s="97" t="s">
        <v>2223</v>
      </c>
      <c r="P105" s="253">
        <v>44741</v>
      </c>
      <c r="Q105" s="254"/>
      <c r="R105" s="252" t="s">
        <v>39</v>
      </c>
      <c r="S105" s="255">
        <v>240</v>
      </c>
      <c r="T105" s="255">
        <v>636</v>
      </c>
      <c r="U105" s="255">
        <v>1</v>
      </c>
      <c r="V105" s="255"/>
      <c r="W105" s="256"/>
      <c r="X105" s="257">
        <v>2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2749</v>
      </c>
      <c r="O106" s="97" t="s">
        <v>2223</v>
      </c>
      <c r="P106" s="253">
        <v>44741</v>
      </c>
      <c r="Q106" s="254"/>
      <c r="R106" s="252" t="s">
        <v>18</v>
      </c>
      <c r="S106" s="255">
        <v>360</v>
      </c>
      <c r="T106" s="255">
        <v>660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2749</v>
      </c>
      <c r="O107" s="97" t="s">
        <v>2223</v>
      </c>
      <c r="P107" s="253">
        <v>44741</v>
      </c>
      <c r="Q107" s="254"/>
      <c r="R107" s="252" t="s">
        <v>25</v>
      </c>
      <c r="S107" s="255">
        <v>360</v>
      </c>
      <c r="T107" s="255">
        <v>420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2749</v>
      </c>
      <c r="O108" s="97" t="s">
        <v>2223</v>
      </c>
      <c r="P108" s="253">
        <v>44741</v>
      </c>
      <c r="Q108" s="254"/>
      <c r="R108" s="252" t="s">
        <v>28</v>
      </c>
      <c r="S108" s="255">
        <v>240</v>
      </c>
      <c r="T108" s="255">
        <v>1176</v>
      </c>
      <c r="U108" s="255">
        <v>2</v>
      </c>
      <c r="V108" s="255"/>
      <c r="W108" s="256"/>
      <c r="X108" s="257">
        <v>3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2747</v>
      </c>
      <c r="O109" s="317" t="s">
        <v>2081</v>
      </c>
      <c r="P109" s="253">
        <v>44741</v>
      </c>
      <c r="Q109" s="254"/>
      <c r="R109" s="252" t="s">
        <v>39</v>
      </c>
      <c r="S109" s="255">
        <v>600</v>
      </c>
      <c r="T109" s="255">
        <v>960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2753</v>
      </c>
      <c r="O110" s="317" t="s">
        <v>582</v>
      </c>
      <c r="P110" s="253">
        <v>44742</v>
      </c>
      <c r="Q110" s="254"/>
      <c r="R110" s="252" t="s">
        <v>28</v>
      </c>
      <c r="S110" s="255">
        <v>600</v>
      </c>
      <c r="T110" s="255">
        <v>540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52" t="s">
        <v>2754</v>
      </c>
      <c r="O111" s="97" t="s">
        <v>27</v>
      </c>
      <c r="P111" s="253">
        <v>44742</v>
      </c>
      <c r="Q111" s="254"/>
      <c r="R111" s="252" t="s">
        <v>28</v>
      </c>
      <c r="S111" s="255">
        <v>240</v>
      </c>
      <c r="T111" s="255">
        <v>468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25">
      <c r="B112" s="38" t="s">
        <v>8</v>
      </c>
      <c r="C112" s="15">
        <f ca="1">TODAY()</f>
        <v>44748</v>
      </c>
      <c r="N112" s="252" t="s">
        <v>2755</v>
      </c>
      <c r="O112" s="330" t="s">
        <v>1596</v>
      </c>
      <c r="P112" s="253">
        <v>44742</v>
      </c>
      <c r="Q112" s="254"/>
      <c r="R112" s="252" t="s">
        <v>28</v>
      </c>
      <c r="S112" s="255">
        <v>240</v>
      </c>
      <c r="T112" s="255">
        <v>432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2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2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2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2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2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25">
      <c r="A145" s="9" t="s">
        <v>49</v>
      </c>
      <c r="B145" s="49" t="str">
        <f t="shared" si="13"/>
        <v>Woada LK-301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2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2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2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2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2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2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2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2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2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2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2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2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2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2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2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2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2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2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2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2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2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2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2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2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2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2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2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2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2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2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2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2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2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2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2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2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2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2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2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2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2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2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2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2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2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2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2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2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2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2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342" t="s">
        <v>527</v>
      </c>
      <c r="B1" s="343"/>
      <c r="C1" s="129"/>
      <c r="D1" s="342" t="s">
        <v>396</v>
      </c>
      <c r="E1" s="343"/>
      <c r="F1" s="129"/>
      <c r="G1" s="342" t="s">
        <v>390</v>
      </c>
      <c r="H1" s="343"/>
    </row>
    <row r="2" spans="1:8" ht="17.25" x14ac:dyDescent="0.3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.25" x14ac:dyDescent="0.3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.25" x14ac:dyDescent="0.3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.25" x14ac:dyDescent="0.3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.25" x14ac:dyDescent="0.3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.25" x14ac:dyDescent="0.3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.25" x14ac:dyDescent="0.3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.25" x14ac:dyDescent="0.3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.25" x14ac:dyDescent="0.25">
      <c r="A10" s="133"/>
      <c r="B10" s="149"/>
      <c r="D10" s="133"/>
      <c r="E10" s="149"/>
      <c r="G10" s="133"/>
      <c r="H10" s="149"/>
    </row>
    <row r="11" spans="1:8" ht="15.75" x14ac:dyDescent="0.25">
      <c r="A11" s="133"/>
      <c r="B11" s="132"/>
      <c r="D11" s="133"/>
      <c r="E11" s="132"/>
      <c r="G11" s="133"/>
      <c r="H11" s="132"/>
    </row>
    <row r="12" spans="1:8" ht="15.75" x14ac:dyDescent="0.25">
      <c r="A12" s="133"/>
      <c r="B12" s="132"/>
      <c r="D12" s="133"/>
      <c r="E12" s="132"/>
      <c r="G12" s="133"/>
      <c r="H12" s="132"/>
    </row>
    <row r="13" spans="1:8" ht="15.75" x14ac:dyDescent="0.25">
      <c r="A13" s="133"/>
      <c r="B13" s="132"/>
      <c r="D13" s="133"/>
      <c r="E13" s="132"/>
      <c r="G13" s="133"/>
      <c r="H13" s="132"/>
    </row>
    <row r="14" spans="1:8" ht="15.75" x14ac:dyDescent="0.25">
      <c r="A14" s="133"/>
      <c r="B14" s="132"/>
      <c r="D14" s="133"/>
      <c r="E14" s="132"/>
      <c r="G14" s="133"/>
      <c r="H14" s="132"/>
    </row>
    <row r="15" spans="1:8" ht="15.75" thickBot="1" x14ac:dyDescent="0.3">
      <c r="A15" s="340" t="s">
        <v>351</v>
      </c>
      <c r="B15" s="341"/>
      <c r="D15" s="340" t="s">
        <v>351</v>
      </c>
      <c r="E15" s="341"/>
      <c r="G15" s="340" t="s">
        <v>351</v>
      </c>
      <c r="H15" s="341"/>
    </row>
    <row r="16" spans="1:8" ht="15.75" thickBot="1" x14ac:dyDescent="0.3">
      <c r="A16" s="133"/>
      <c r="B16" s="143"/>
      <c r="D16" s="133"/>
      <c r="E16" s="143"/>
      <c r="G16" s="133"/>
      <c r="H16" s="143"/>
    </row>
    <row r="17" spans="1:8" ht="32.25" x14ac:dyDescent="0.5">
      <c r="A17" s="342" t="s">
        <v>247</v>
      </c>
      <c r="B17" s="343"/>
      <c r="C17" s="129"/>
      <c r="D17" s="342" t="s">
        <v>246</v>
      </c>
      <c r="E17" s="343"/>
      <c r="F17" s="129"/>
      <c r="G17" s="342" t="s">
        <v>1129</v>
      </c>
      <c r="H17" s="343"/>
    </row>
    <row r="18" spans="1:8" ht="17.25" x14ac:dyDescent="0.3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.25" x14ac:dyDescent="0.3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.25" x14ac:dyDescent="0.3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.25" x14ac:dyDescent="0.3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.25" x14ac:dyDescent="0.3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.25" x14ac:dyDescent="0.3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.25" x14ac:dyDescent="0.3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.25" x14ac:dyDescent="0.3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.25" x14ac:dyDescent="0.25">
      <c r="A26" s="133"/>
      <c r="B26" s="149"/>
      <c r="D26" s="133"/>
      <c r="E26" s="149"/>
      <c r="G26" s="133"/>
      <c r="H26" s="149"/>
    </row>
    <row r="27" spans="1:8" ht="15.75" x14ac:dyDescent="0.25">
      <c r="A27" s="133"/>
      <c r="B27" s="132"/>
      <c r="D27" s="133"/>
      <c r="E27" s="132"/>
      <c r="G27" s="133"/>
      <c r="H27" s="132"/>
    </row>
    <row r="28" spans="1:8" ht="15.75" x14ac:dyDescent="0.25">
      <c r="A28" s="133"/>
      <c r="B28" s="132"/>
      <c r="D28" s="133"/>
      <c r="E28" s="132"/>
      <c r="G28" s="133"/>
      <c r="H28" s="132"/>
    </row>
    <row r="29" spans="1:8" ht="15.75" x14ac:dyDescent="0.25">
      <c r="A29" s="133"/>
      <c r="B29" s="132"/>
      <c r="D29" s="133"/>
      <c r="E29" s="132"/>
      <c r="G29" s="133"/>
      <c r="H29" s="132"/>
    </row>
    <row r="30" spans="1:8" ht="15.75" x14ac:dyDescent="0.25">
      <c r="A30" s="133"/>
      <c r="B30" s="132"/>
      <c r="D30" s="133"/>
      <c r="E30" s="132"/>
      <c r="G30" s="133"/>
      <c r="H30" s="132"/>
    </row>
    <row r="31" spans="1:8" ht="15.75" thickBot="1" x14ac:dyDescent="0.3">
      <c r="A31" s="340" t="s">
        <v>351</v>
      </c>
      <c r="B31" s="341"/>
      <c r="D31" s="340" t="s">
        <v>351</v>
      </c>
      <c r="E31" s="341"/>
      <c r="G31" s="340" t="s">
        <v>351</v>
      </c>
      <c r="H31" s="341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3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2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2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00000000-0004-0000-0A00-000000000000}"/>
    <hyperlink ref="N75" r:id="rId2" xr:uid="{00000000-0004-0000-0A00-000001000000}"/>
    <hyperlink ref="N76:N79" r:id="rId3" display="Wo@da" xr:uid="{00000000-0004-0000-0A00-000002000000}"/>
    <hyperlink ref="N76" r:id="rId4" xr:uid="{00000000-0004-0000-0A00-000003000000}"/>
    <hyperlink ref="N77" r:id="rId5" xr:uid="{00000000-0004-0000-0A00-000004000000}"/>
    <hyperlink ref="N78" r:id="rId6" xr:uid="{00000000-0004-0000-0A00-000005000000}"/>
    <hyperlink ref="N79" r:id="rId7" xr:uid="{00000000-0004-0000-0A00-000006000000}"/>
    <hyperlink ref="N80" r:id="rId8" xr:uid="{00000000-0004-0000-0A00-000007000000}"/>
    <hyperlink ref="N81" r:id="rId9" xr:uid="{00000000-0004-0000-0A00-000008000000}"/>
    <hyperlink ref="C36" r:id="rId10" xr:uid="{00000000-0004-0000-0A00-000009000000}"/>
    <hyperlink ref="C37" r:id="rId11" xr:uid="{00000000-0004-0000-0A00-00000A000000}"/>
    <hyperlink ref="C45" r:id="rId12" xr:uid="{00000000-0004-0000-0A00-00000B000000}"/>
    <hyperlink ref="C46" r:id="rId13" xr:uid="{00000000-0004-0000-0A00-00000C000000}"/>
    <hyperlink ref="C50" r:id="rId14" xr:uid="{00000000-0004-0000-0A00-00000D000000}"/>
    <hyperlink ref="C57" r:id="rId15" xr:uid="{00000000-0004-0000-0A00-00000E000000}"/>
    <hyperlink ref="C58" r:id="rId16" xr:uid="{00000000-0004-0000-0A00-00000F000000}"/>
    <hyperlink ref="C174" r:id="rId17" xr:uid="{00000000-0004-0000-0A00-000010000000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77"/>
  <sheetViews>
    <sheetView workbookViewId="0">
      <selection activeCell="D5" sqref="D5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344" t="s">
        <v>900</v>
      </c>
      <c r="E1" s="344"/>
      <c r="F1" s="344"/>
      <c r="J1" s="344" t="s">
        <v>901</v>
      </c>
      <c r="K1" s="344"/>
      <c r="L1" s="344"/>
      <c r="M1" s="344"/>
    </row>
    <row r="2" spans="1:16" x14ac:dyDescent="0.2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344" t="s">
        <v>900</v>
      </c>
      <c r="E18" s="344"/>
      <c r="F18" s="344"/>
      <c r="J18" s="344" t="s">
        <v>901</v>
      </c>
      <c r="K18" s="344"/>
      <c r="L18" s="344"/>
      <c r="M18" s="344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344" t="s">
        <v>900</v>
      </c>
      <c r="E35" s="344"/>
      <c r="F35" s="344"/>
      <c r="J35" s="344" t="s">
        <v>901</v>
      </c>
      <c r="K35" s="344"/>
      <c r="L35" s="344"/>
      <c r="M35" s="344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30"/>
  <sheetViews>
    <sheetView topLeftCell="F21" workbookViewId="0">
      <selection activeCell="G32" sqref="G32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6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7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348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50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25">
      <c r="C4" s="349"/>
      <c r="D4" s="106"/>
      <c r="E4" s="29"/>
      <c r="F4" s="29">
        <v>144</v>
      </c>
      <c r="G4" s="29">
        <f>COUNTIF(Table132128[Kim],F4)</f>
        <v>22</v>
      </c>
      <c r="H4" s="29"/>
      <c r="I4" s="29"/>
      <c r="J4" s="351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51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50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25">
      <c r="A5" s="29"/>
      <c r="B5" s="29"/>
      <c r="C5" s="349"/>
      <c r="D5" s="106"/>
      <c r="E5" s="29"/>
      <c r="F5" s="29"/>
      <c r="G5" s="29"/>
      <c r="H5" s="29"/>
      <c r="I5" s="29"/>
      <c r="J5" s="351"/>
      <c r="K5" s="29"/>
      <c r="L5" s="29"/>
      <c r="M5" s="29"/>
      <c r="N5" s="29"/>
      <c r="O5" s="112"/>
      <c r="P5" s="29"/>
      <c r="Q5" s="29"/>
      <c r="R5" s="29"/>
      <c r="S5" s="29"/>
      <c r="T5" s="351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50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349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51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51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50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25">
      <c r="A7" s="29" t="s">
        <v>288</v>
      </c>
      <c r="B7" s="29" t="s">
        <v>287</v>
      </c>
      <c r="C7" s="349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51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51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50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349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51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51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50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25">
      <c r="A9" s="29" t="s">
        <v>293</v>
      </c>
      <c r="B9" s="29" t="s">
        <v>287</v>
      </c>
      <c r="C9" s="349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51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51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50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25">
      <c r="A10" s="29" t="s">
        <v>295</v>
      </c>
      <c r="B10" s="29" t="s">
        <v>287</v>
      </c>
      <c r="C10" s="349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51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51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50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349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51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51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50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349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51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51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50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25">
      <c r="A13" s="29" t="s">
        <v>302</v>
      </c>
      <c r="B13" s="29" t="s">
        <v>287</v>
      </c>
      <c r="C13" s="349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51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51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50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349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51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51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50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25">
      <c r="A15" s="29" t="s">
        <v>306</v>
      </c>
      <c r="B15" s="29" t="s">
        <v>287</v>
      </c>
      <c r="C15" s="349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51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51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50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25">
      <c r="A16" s="29" t="s">
        <v>304</v>
      </c>
      <c r="B16" s="29" t="s">
        <v>287</v>
      </c>
      <c r="C16" s="349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51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51"/>
      <c r="U16" s="13">
        <v>200</v>
      </c>
      <c r="V16" s="36" t="s">
        <v>91</v>
      </c>
      <c r="W16" s="48"/>
      <c r="X16" s="48"/>
      <c r="Y16" s="351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50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25">
      <c r="A17" s="29" t="s">
        <v>301</v>
      </c>
      <c r="B17" s="29" t="s">
        <v>303</v>
      </c>
      <c r="C17" s="349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51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51"/>
      <c r="U17" s="13">
        <v>144</v>
      </c>
      <c r="V17" s="36" t="s">
        <v>90</v>
      </c>
      <c r="W17" s="48"/>
      <c r="X17" s="48"/>
      <c r="Y17" s="351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50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349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51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51"/>
      <c r="U18" s="121"/>
      <c r="V18" s="122"/>
      <c r="W18" s="123"/>
      <c r="X18" s="123"/>
      <c r="Y18" s="351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50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25">
      <c r="A19" s="29" t="s">
        <v>296</v>
      </c>
      <c r="B19" s="29" t="s">
        <v>303</v>
      </c>
      <c r="C19" s="349"/>
      <c r="D19" s="29" t="s">
        <v>307</v>
      </c>
      <c r="E19" s="29" t="s">
        <v>295</v>
      </c>
      <c r="F19" s="29"/>
      <c r="G19" s="29"/>
      <c r="H19" s="29"/>
      <c r="I19" s="29"/>
      <c r="J19" s="351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51"/>
      <c r="U19" s="121"/>
      <c r="V19" s="122"/>
      <c r="W19" s="125"/>
      <c r="X19" s="125"/>
      <c r="Y19" s="351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50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25">
      <c r="A20" s="29" t="s">
        <v>294</v>
      </c>
      <c r="B20" s="29" t="s">
        <v>303</v>
      </c>
      <c r="C20" s="349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51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51"/>
      <c r="U20" s="13">
        <v>144</v>
      </c>
      <c r="V20" s="36" t="s">
        <v>88</v>
      </c>
      <c r="W20" s="48"/>
      <c r="X20" s="48"/>
      <c r="Y20" s="351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50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25">
      <c r="A21" s="29" t="s">
        <v>292</v>
      </c>
      <c r="B21" s="29" t="s">
        <v>303</v>
      </c>
      <c r="C21" s="349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51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51"/>
      <c r="U21" s="13">
        <v>144</v>
      </c>
      <c r="V21" s="36" t="s">
        <v>85</v>
      </c>
      <c r="W21" s="48"/>
      <c r="X21" s="48"/>
      <c r="Y21" s="351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50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25">
      <c r="A22" s="55" t="s">
        <v>297</v>
      </c>
      <c r="B22" s="55"/>
      <c r="C22" s="349"/>
      <c r="D22" s="106"/>
      <c r="J22" s="351"/>
      <c r="O22" s="112"/>
      <c r="T22" s="351"/>
      <c r="Y22" s="351"/>
      <c r="AE22" s="350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345" t="s">
        <v>284</v>
      </c>
      <c r="B23" s="345"/>
      <c r="C23" s="345"/>
      <c r="D23" s="345"/>
      <c r="E23" s="345"/>
      <c r="F23" s="345"/>
      <c r="G23" s="345"/>
      <c r="H23" s="345"/>
      <c r="I23" s="345"/>
      <c r="J23" s="345"/>
      <c r="K23" s="345"/>
      <c r="L23" s="345"/>
      <c r="M23" s="345"/>
      <c r="N23" s="345"/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345"/>
      <c r="B24" s="345"/>
      <c r="C24" s="345"/>
      <c r="D24" s="345"/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2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2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2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2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2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25"/>
    <row r="36" spans="6:36" s="192" customFormat="1" x14ac:dyDescent="0.25">
      <c r="G36" s="192" t="s">
        <v>318</v>
      </c>
    </row>
    <row r="37" spans="6:36" s="192" customFormat="1" x14ac:dyDescent="0.25"/>
    <row r="38" spans="6:36" s="192" customFormat="1" x14ac:dyDescent="0.25">
      <c r="G38" s="192" t="s">
        <v>319</v>
      </c>
    </row>
    <row r="39" spans="6:36" s="192" customFormat="1" x14ac:dyDescent="0.25">
      <c r="G39" s="192" t="s">
        <v>320</v>
      </c>
    </row>
    <row r="40" spans="6:36" s="192" customFormat="1" x14ac:dyDescent="0.2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2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2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2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2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2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2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2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2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2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2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2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2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2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2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25">
      <c r="AG55" s="193"/>
      <c r="AH55" s="194"/>
      <c r="AI55" s="206"/>
      <c r="AJ55" s="206"/>
    </row>
    <row r="56" spans="6:36" s="192" customFormat="1" x14ac:dyDescent="0.2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2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2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2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2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2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2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2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2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2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2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2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2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2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2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2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2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2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2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2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2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2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2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2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2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2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92" t="s">
        <v>68</v>
      </c>
      <c r="H105" s="192" t="s">
        <v>1371</v>
      </c>
      <c r="I105" t="s">
        <v>1370</v>
      </c>
    </row>
    <row r="106" spans="7:36" x14ac:dyDescent="0.25">
      <c r="G106" s="192" t="s">
        <v>70</v>
      </c>
      <c r="H106" s="192" t="s">
        <v>1371</v>
      </c>
      <c r="I106" t="s">
        <v>1370</v>
      </c>
    </row>
    <row r="107" spans="7:36" x14ac:dyDescent="0.25">
      <c r="G107" s="192" t="s">
        <v>71</v>
      </c>
      <c r="H107" s="192" t="s">
        <v>1371</v>
      </c>
      <c r="I107" t="s">
        <v>1370</v>
      </c>
    </row>
    <row r="108" spans="7:36" x14ac:dyDescent="0.2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2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2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2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2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2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2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2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25">
      <c r="G116" s="192" t="s">
        <v>85</v>
      </c>
      <c r="H116" s="192" t="s">
        <v>1371</v>
      </c>
      <c r="I116" t="s">
        <v>1370</v>
      </c>
    </row>
    <row r="117" spans="7:12" x14ac:dyDescent="0.25">
      <c r="G117" s="192" t="s">
        <v>88</v>
      </c>
      <c r="H117" s="192" t="s">
        <v>1371</v>
      </c>
      <c r="I117" t="s">
        <v>1370</v>
      </c>
    </row>
    <row r="118" spans="7:12" x14ac:dyDescent="0.2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2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2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25">
      <c r="G121" s="192" t="s">
        <v>94</v>
      </c>
      <c r="H121" s="192" t="s">
        <v>1371</v>
      </c>
      <c r="I121" t="s">
        <v>1370</v>
      </c>
    </row>
    <row r="122" spans="7:12" x14ac:dyDescent="0.25">
      <c r="G122" s="192" t="s">
        <v>95</v>
      </c>
      <c r="H122" s="192" t="s">
        <v>1371</v>
      </c>
      <c r="I122" t="s">
        <v>1370</v>
      </c>
    </row>
    <row r="123" spans="7:12" x14ac:dyDescent="0.25">
      <c r="G123" s="192" t="s">
        <v>96</v>
      </c>
      <c r="H123" s="192" t="s">
        <v>1371</v>
      </c>
      <c r="I123" t="s">
        <v>1370</v>
      </c>
    </row>
    <row r="124" spans="7:12" x14ac:dyDescent="0.25">
      <c r="G124" s="192" t="s">
        <v>97</v>
      </c>
      <c r="H124" s="192" t="s">
        <v>1371</v>
      </c>
      <c r="I124" t="s">
        <v>1370</v>
      </c>
    </row>
    <row r="125" spans="7:12" x14ac:dyDescent="0.25">
      <c r="G125" s="192" t="s">
        <v>1356</v>
      </c>
      <c r="H125" s="192" t="s">
        <v>1371</v>
      </c>
      <c r="I125" t="s">
        <v>1370</v>
      </c>
    </row>
    <row r="126" spans="7:12" x14ac:dyDescent="0.2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2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25">
      <c r="G128" s="192" t="s">
        <v>1357</v>
      </c>
      <c r="H128" s="192" t="s">
        <v>1371</v>
      </c>
      <c r="I128" t="s">
        <v>1370</v>
      </c>
    </row>
    <row r="129" spans="7:10" x14ac:dyDescent="0.2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2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9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2022-07-06T02:56:27Z</cp:lastPrinted>
  <dcterms:created xsi:type="dcterms:W3CDTF">2020-07-02T10:10:14Z</dcterms:created>
  <dcterms:modified xsi:type="dcterms:W3CDTF">2022-07-06T05:54:17Z</dcterms:modified>
</cp:coreProperties>
</file>