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0640" windowHeight="11160" activeTab="2"/>
  </bookViews>
  <sheets>
    <sheet name="KeHoach" sheetId="5" r:id="rId1"/>
    <sheet name="CK" sheetId="6" r:id="rId2"/>
    <sheet name="PS" sheetId="7" r:id="rId3"/>
    <sheet name="TKPS" sheetId="11" r:id="rId4"/>
    <sheet name="Mua" sheetId="3" r:id="rId5"/>
    <sheet name="Xedien" sheetId="4" r:id="rId6"/>
    <sheet name="Music" sheetId="1" r:id="rId7"/>
    <sheet name="Sach" sheetId="2" r:id="rId8"/>
    <sheet name="TKCN" sheetId="8" r:id="rId9"/>
    <sheet name="NH" sheetId="9" r:id="rId10"/>
    <sheet name="CP68" sheetId="10" r:id="rId1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6" i="11" l="1"/>
  <c r="O6" i="11"/>
  <c r="N6" i="11"/>
  <c r="M6" i="11"/>
  <c r="P6" i="11" s="1"/>
  <c r="Q5" i="11"/>
  <c r="O5" i="11"/>
  <c r="N5" i="11"/>
  <c r="M5" i="11"/>
  <c r="Q4" i="11"/>
  <c r="O4" i="11"/>
  <c r="N4" i="11"/>
  <c r="M4" i="11"/>
  <c r="P4" i="11" s="1"/>
  <c r="Q3" i="11"/>
  <c r="O3" i="11"/>
  <c r="N3" i="11"/>
  <c r="M3" i="11"/>
  <c r="Q2" i="11"/>
  <c r="O2" i="11"/>
  <c r="N2" i="11"/>
  <c r="M2" i="11"/>
  <c r="Q11" i="11"/>
  <c r="O11" i="11"/>
  <c r="N11" i="11"/>
  <c r="M11" i="11"/>
  <c r="Q10" i="11"/>
  <c r="O10" i="11"/>
  <c r="N10" i="11"/>
  <c r="M10" i="11"/>
  <c r="Q9" i="11"/>
  <c r="O9" i="11"/>
  <c r="N9" i="11"/>
  <c r="M9" i="11"/>
  <c r="Q8" i="11"/>
  <c r="O8" i="11"/>
  <c r="N8" i="11"/>
  <c r="M8" i="11"/>
  <c r="Q7" i="11"/>
  <c r="O7" i="11"/>
  <c r="N7" i="11"/>
  <c r="M7" i="11"/>
  <c r="Q16" i="11"/>
  <c r="O16" i="11"/>
  <c r="N16" i="11"/>
  <c r="M16" i="11"/>
  <c r="Q15" i="11"/>
  <c r="O15" i="11"/>
  <c r="N15" i="11"/>
  <c r="M15" i="11"/>
  <c r="Q14" i="11"/>
  <c r="O14" i="11"/>
  <c r="N14" i="11"/>
  <c r="M14" i="11"/>
  <c r="Q13" i="11"/>
  <c r="O13" i="11"/>
  <c r="N13" i="11"/>
  <c r="M13" i="11"/>
  <c r="Q12" i="11"/>
  <c r="O12" i="11"/>
  <c r="N12" i="11"/>
  <c r="M12" i="11"/>
  <c r="M3" i="7"/>
  <c r="P3" i="11" l="1"/>
  <c r="P14" i="11"/>
  <c r="P10" i="11"/>
  <c r="P12" i="11"/>
  <c r="P13" i="11"/>
  <c r="P8" i="11"/>
  <c r="P9" i="11"/>
  <c r="P2" i="11"/>
  <c r="P5" i="11"/>
  <c r="P11" i="11"/>
  <c r="P7" i="11"/>
  <c r="P15" i="11"/>
  <c r="P16" i="11"/>
  <c r="C15" i="7"/>
  <c r="F15" i="7"/>
  <c r="F17" i="7" l="1"/>
  <c r="E11" i="6" l="1"/>
  <c r="G8" i="6" l="1"/>
  <c r="E13" i="6" l="1"/>
  <c r="D13" i="6" s="1"/>
  <c r="A12" i="6"/>
  <c r="I12" i="6" s="1"/>
  <c r="D12" i="6"/>
  <c r="J13" i="6" l="1"/>
  <c r="J12" i="6"/>
  <c r="H12" i="6" s="1"/>
  <c r="C22" i="7"/>
  <c r="N12" i="6"/>
  <c r="Q21" i="11"/>
  <c r="O21" i="11"/>
  <c r="N21" i="11"/>
  <c r="M21" i="11"/>
  <c r="Q20" i="11"/>
  <c r="O20" i="11"/>
  <c r="N20" i="11"/>
  <c r="M20" i="11"/>
  <c r="Q19" i="11"/>
  <c r="O19" i="11"/>
  <c r="N19" i="11"/>
  <c r="M19" i="11"/>
  <c r="Q18" i="11"/>
  <c r="O18" i="11"/>
  <c r="N18" i="11"/>
  <c r="M18" i="11"/>
  <c r="Q17" i="11"/>
  <c r="O17" i="11"/>
  <c r="N17" i="11"/>
  <c r="M17" i="11"/>
  <c r="Q26" i="11"/>
  <c r="O26" i="11"/>
  <c r="N26" i="11"/>
  <c r="M26" i="11"/>
  <c r="Q25" i="11"/>
  <c r="O25" i="11"/>
  <c r="N25" i="11"/>
  <c r="M25" i="11"/>
  <c r="Q24" i="11"/>
  <c r="O24" i="11"/>
  <c r="N24" i="11"/>
  <c r="M24" i="11"/>
  <c r="Q23" i="11"/>
  <c r="O23" i="11"/>
  <c r="N23" i="11"/>
  <c r="M23" i="11"/>
  <c r="Q22" i="11"/>
  <c r="O22" i="11"/>
  <c r="N22" i="11"/>
  <c r="M22" i="11"/>
  <c r="P19" i="11" l="1"/>
  <c r="P20" i="11"/>
  <c r="P17" i="11"/>
  <c r="P18" i="11"/>
  <c r="P21" i="11"/>
  <c r="P22" i="11"/>
  <c r="P23" i="11"/>
  <c r="P24" i="11"/>
  <c r="P25" i="11"/>
  <c r="P26" i="11"/>
  <c r="E14" i="6"/>
  <c r="U5" i="7" l="1"/>
  <c r="J15" i="6"/>
  <c r="I14" i="6"/>
  <c r="D14" i="6"/>
  <c r="D15" i="6" l="1"/>
  <c r="J14" i="6" s="1"/>
  <c r="H14" i="6" s="1"/>
  <c r="A10" i="6" l="1"/>
  <c r="I16" i="6" l="1"/>
  <c r="J17" i="6"/>
  <c r="D17" i="6"/>
  <c r="D16" i="6"/>
  <c r="J16" i="6" l="1"/>
  <c r="H16" i="6" s="1"/>
  <c r="G20" i="6"/>
  <c r="G39" i="6"/>
  <c r="E19" i="6" l="1"/>
  <c r="D19" i="6" s="1"/>
  <c r="D18" i="6"/>
  <c r="I18" i="6"/>
  <c r="J19" i="6" l="1"/>
  <c r="J18" i="6" s="1"/>
  <c r="H18" i="6" s="1"/>
  <c r="V13" i="7" l="1"/>
  <c r="X13" i="7"/>
  <c r="Y13" i="7"/>
  <c r="Y14" i="7"/>
  <c r="X14" i="7"/>
  <c r="G9" i="7"/>
  <c r="G10" i="7"/>
  <c r="G13" i="7"/>
  <c r="G14" i="7"/>
  <c r="G17" i="7"/>
  <c r="G18" i="7"/>
  <c r="G21" i="7"/>
  <c r="G22" i="7"/>
  <c r="G25" i="7"/>
  <c r="G26" i="7"/>
  <c r="G7" i="7"/>
  <c r="G8" i="7"/>
  <c r="G11" i="7"/>
  <c r="G12" i="7"/>
  <c r="G15" i="7"/>
  <c r="G16" i="7"/>
  <c r="G19" i="7"/>
  <c r="G20" i="7"/>
  <c r="G23" i="7"/>
  <c r="G24" i="7"/>
  <c r="G27" i="7"/>
  <c r="G28" i="7"/>
  <c r="D10" i="6"/>
  <c r="Q31" i="11" l="1"/>
  <c r="O31" i="11"/>
  <c r="N31" i="11"/>
  <c r="M31" i="11"/>
  <c r="Q30" i="11"/>
  <c r="O30" i="11"/>
  <c r="N30" i="11"/>
  <c r="M30" i="11"/>
  <c r="Q29" i="11"/>
  <c r="O29" i="11"/>
  <c r="N29" i="11"/>
  <c r="M29" i="11"/>
  <c r="Q28" i="11"/>
  <c r="O28" i="11"/>
  <c r="N28" i="11"/>
  <c r="M28" i="11"/>
  <c r="Q27" i="11"/>
  <c r="O27" i="11"/>
  <c r="N27" i="11"/>
  <c r="M27" i="11"/>
  <c r="C32" i="7"/>
  <c r="P29" i="11" l="1"/>
  <c r="P30" i="11"/>
  <c r="P31" i="11"/>
  <c r="P27" i="11"/>
  <c r="P28" i="11"/>
  <c r="D11" i="6" l="1"/>
  <c r="V5" i="7" l="1"/>
  <c r="C33" i="7" l="1"/>
  <c r="F33" i="7"/>
  <c r="F34" i="7" l="1"/>
  <c r="U4" i="7" l="1"/>
  <c r="F35" i="7"/>
  <c r="C35" i="7"/>
  <c r="G30" i="7" l="1"/>
  <c r="G31" i="7"/>
  <c r="G6" i="7"/>
  <c r="G29" i="7"/>
  <c r="G32" i="7"/>
  <c r="G33" i="7"/>
  <c r="I10" i="6" l="1"/>
  <c r="I11" i="6" s="1"/>
  <c r="J11" i="6" l="1"/>
  <c r="Q36" i="11"/>
  <c r="O36" i="11"/>
  <c r="N36" i="11"/>
  <c r="M36" i="11"/>
  <c r="Q35" i="11"/>
  <c r="O35" i="11"/>
  <c r="N35" i="11"/>
  <c r="M35" i="11"/>
  <c r="Q34" i="11"/>
  <c r="O34" i="11"/>
  <c r="N34" i="11"/>
  <c r="M34" i="11"/>
  <c r="Q33" i="11"/>
  <c r="O33" i="11"/>
  <c r="N33" i="11"/>
  <c r="M33" i="11"/>
  <c r="Q32" i="11"/>
  <c r="O32" i="11"/>
  <c r="N32" i="11"/>
  <c r="M32" i="11"/>
  <c r="J10" i="6" l="1"/>
  <c r="P33" i="11"/>
  <c r="P34" i="11"/>
  <c r="P35" i="11"/>
  <c r="P32" i="11"/>
  <c r="P36" i="11"/>
  <c r="H10" i="6" l="1"/>
  <c r="G40" i="7" l="1"/>
  <c r="C41" i="7"/>
  <c r="L41" i="11" l="1"/>
  <c r="C42" i="7"/>
  <c r="Q41" i="11" l="1"/>
  <c r="O41" i="11"/>
  <c r="N41" i="11"/>
  <c r="M41" i="11"/>
  <c r="Q40" i="11"/>
  <c r="O40" i="11"/>
  <c r="N40" i="11"/>
  <c r="M40" i="11"/>
  <c r="Q39" i="11"/>
  <c r="O39" i="11"/>
  <c r="N39" i="11"/>
  <c r="M39" i="11"/>
  <c r="Q38" i="11"/>
  <c r="O38" i="11"/>
  <c r="N38" i="11"/>
  <c r="M38" i="11"/>
  <c r="Q37" i="11"/>
  <c r="O37" i="11"/>
  <c r="N37" i="11"/>
  <c r="M37" i="11"/>
  <c r="P38" i="11" l="1"/>
  <c r="P39" i="11"/>
  <c r="P40" i="11"/>
  <c r="P37" i="11"/>
  <c r="P41" i="11"/>
  <c r="L44" i="11" l="1"/>
  <c r="L43" i="11"/>
  <c r="F44" i="7"/>
  <c r="C44" i="7"/>
  <c r="G34" i="7" l="1"/>
  <c r="G35" i="7"/>
  <c r="G38" i="7"/>
  <c r="G39" i="7"/>
  <c r="G4" i="7"/>
  <c r="G5" i="7"/>
  <c r="G36" i="7"/>
  <c r="G37" i="7"/>
  <c r="G41" i="7"/>
  <c r="F46" i="7"/>
  <c r="E24" i="6"/>
  <c r="L46" i="11"/>
  <c r="Q46" i="11"/>
  <c r="O46" i="11"/>
  <c r="N46" i="11"/>
  <c r="M46" i="11"/>
  <c r="Q45" i="11"/>
  <c r="O45" i="11"/>
  <c r="N45" i="11"/>
  <c r="M45" i="11"/>
  <c r="Q44" i="11"/>
  <c r="O44" i="11"/>
  <c r="N44" i="11"/>
  <c r="M44" i="11"/>
  <c r="Q43" i="11"/>
  <c r="O43" i="11"/>
  <c r="N43" i="11"/>
  <c r="M43" i="11"/>
  <c r="Q42" i="11"/>
  <c r="O42" i="11"/>
  <c r="N42" i="11"/>
  <c r="M42" i="11"/>
  <c r="C50" i="7"/>
  <c r="L47" i="11"/>
  <c r="P46" i="11" l="1"/>
  <c r="P43" i="11"/>
  <c r="P45" i="11"/>
  <c r="P42" i="11"/>
  <c r="P44" i="11"/>
  <c r="L49" i="11"/>
  <c r="L48" i="11"/>
  <c r="M4" i="7"/>
  <c r="U3" i="7" s="1"/>
  <c r="V3" i="7" s="1"/>
  <c r="L51" i="11" l="1"/>
  <c r="G45" i="7"/>
  <c r="G46" i="7"/>
  <c r="G49" i="7"/>
  <c r="G43" i="7"/>
  <c r="G44" i="7"/>
  <c r="G47" i="7"/>
  <c r="G48" i="7"/>
  <c r="O9" i="6"/>
  <c r="F52" i="7"/>
  <c r="C52" i="7" l="1"/>
  <c r="L52" i="11"/>
  <c r="L53" i="11"/>
  <c r="L54" i="11"/>
  <c r="Q57" i="11"/>
  <c r="Q58" i="11"/>
  <c r="Q59" i="11"/>
  <c r="Q60" i="11"/>
  <c r="Q61" i="11"/>
  <c r="Q62" i="11"/>
  <c r="Q63" i="11"/>
  <c r="Q64" i="11"/>
  <c r="Q65" i="11"/>
  <c r="Q66" i="11"/>
  <c r="Q67" i="11"/>
  <c r="Q68" i="11"/>
  <c r="Q69" i="11"/>
  <c r="Q70" i="11"/>
  <c r="Q71" i="11"/>
  <c r="Q72" i="11"/>
  <c r="Q73" i="11"/>
  <c r="Q74" i="11"/>
  <c r="Q75" i="11"/>
  <c r="Q53" i="11"/>
  <c r="Q54" i="11"/>
  <c r="Q55" i="11"/>
  <c r="Q56" i="11"/>
  <c r="Q52" i="11"/>
  <c r="Q47" i="11"/>
  <c r="Q48" i="11"/>
  <c r="Q49" i="11"/>
  <c r="Q50" i="11"/>
  <c r="Q51" i="11"/>
  <c r="I59" i="7"/>
  <c r="I54" i="7"/>
  <c r="I55" i="7"/>
  <c r="I56" i="7"/>
  <c r="I57" i="7"/>
  <c r="I58" i="7"/>
  <c r="I53" i="7"/>
  <c r="I52" i="7"/>
  <c r="O51" i="11" l="1"/>
  <c r="N51" i="11"/>
  <c r="M51" i="11"/>
  <c r="O50" i="11"/>
  <c r="N50" i="11"/>
  <c r="M50" i="11"/>
  <c r="O49" i="11"/>
  <c r="N49" i="11"/>
  <c r="M49" i="11"/>
  <c r="O48" i="11"/>
  <c r="N48" i="11"/>
  <c r="M48" i="11"/>
  <c r="O47" i="11"/>
  <c r="N47" i="11"/>
  <c r="M47" i="11"/>
  <c r="N3" i="6"/>
  <c r="C53" i="7"/>
  <c r="F53" i="7"/>
  <c r="P50" i="11" l="1"/>
  <c r="P48" i="11"/>
  <c r="P47" i="11"/>
  <c r="P49" i="11"/>
  <c r="P51" i="11"/>
  <c r="J23" i="6"/>
  <c r="D23" i="6"/>
  <c r="D22" i="6"/>
  <c r="I22" i="6"/>
  <c r="I23" i="6" s="1"/>
  <c r="F54" i="7"/>
  <c r="C54" i="7"/>
  <c r="J22" i="6" l="1"/>
  <c r="G55" i="7"/>
  <c r="H22" i="6" l="1"/>
  <c r="F25" i="6"/>
  <c r="O56" i="11"/>
  <c r="N56" i="11"/>
  <c r="M56" i="11"/>
  <c r="O55" i="11"/>
  <c r="N55" i="11"/>
  <c r="M55" i="11"/>
  <c r="O54" i="11"/>
  <c r="N54" i="11"/>
  <c r="M54" i="11"/>
  <c r="O53" i="11"/>
  <c r="N53" i="11"/>
  <c r="M53" i="11"/>
  <c r="O52" i="11"/>
  <c r="N52" i="11"/>
  <c r="M52" i="11"/>
  <c r="F56" i="7"/>
  <c r="C56" i="7"/>
  <c r="P52" i="11" l="1"/>
  <c r="P53" i="11"/>
  <c r="P54" i="11"/>
  <c r="P55" i="11"/>
  <c r="P56" i="11"/>
  <c r="O61" i="11"/>
  <c r="N61" i="11"/>
  <c r="M61" i="11"/>
  <c r="O60" i="11"/>
  <c r="N60" i="11"/>
  <c r="M60" i="11"/>
  <c r="O59" i="11"/>
  <c r="N59" i="11"/>
  <c r="M59" i="11"/>
  <c r="O58" i="11"/>
  <c r="N58" i="11"/>
  <c r="M58" i="11"/>
  <c r="O57" i="11"/>
  <c r="N57" i="11"/>
  <c r="M57" i="11"/>
  <c r="F57" i="7"/>
  <c r="C57" i="7"/>
  <c r="P61" i="11" l="1"/>
  <c r="P59" i="11"/>
  <c r="P60" i="11"/>
  <c r="P58" i="11"/>
  <c r="P57" i="11"/>
  <c r="J25" i="6"/>
  <c r="K25" i="6" s="1"/>
  <c r="D25" i="6"/>
  <c r="D24" i="6"/>
  <c r="I24" i="6"/>
  <c r="I25" i="6" l="1"/>
  <c r="J24" i="6" l="1"/>
  <c r="H24" i="6" s="1"/>
  <c r="G3" i="7" l="1"/>
  <c r="G42" i="7"/>
  <c r="G50" i="7"/>
  <c r="G52" i="7"/>
  <c r="G53" i="7"/>
  <c r="G54" i="7"/>
  <c r="G56" i="7"/>
  <c r="G57" i="7"/>
  <c r="G58" i="7"/>
  <c r="G59" i="7"/>
  <c r="M5" i="7" l="1"/>
  <c r="O84" i="11"/>
  <c r="N84" i="11"/>
  <c r="M84" i="11"/>
  <c r="P15" i="6" l="1"/>
  <c r="I29" i="6" l="1"/>
  <c r="D26" i="6"/>
  <c r="J27" i="6"/>
  <c r="D27" i="6"/>
  <c r="I26" i="6"/>
  <c r="I27" i="6" l="1"/>
  <c r="J26" i="6" s="1"/>
  <c r="H26" i="6" s="1"/>
  <c r="O62" i="11" l="1"/>
  <c r="N62" i="11"/>
  <c r="M62" i="11"/>
  <c r="O63" i="11"/>
  <c r="N63" i="11"/>
  <c r="M63" i="11"/>
  <c r="O64" i="11"/>
  <c r="N64" i="11"/>
  <c r="M64" i="11"/>
  <c r="O65" i="11"/>
  <c r="N65" i="11"/>
  <c r="M65" i="11"/>
  <c r="O66" i="11"/>
  <c r="N66" i="11"/>
  <c r="M66" i="11"/>
  <c r="O67" i="11"/>
  <c r="N67" i="11"/>
  <c r="M67" i="11"/>
  <c r="O68" i="11"/>
  <c r="N68" i="11"/>
  <c r="M68" i="11"/>
  <c r="M2" i="7"/>
  <c r="M6" i="7" s="1"/>
  <c r="P62" i="11" l="1"/>
  <c r="P67" i="11"/>
  <c r="P63" i="11"/>
  <c r="P65" i="11"/>
  <c r="P66" i="11"/>
  <c r="P64" i="11"/>
  <c r="P68" i="11"/>
  <c r="M8" i="7"/>
  <c r="R28" i="7"/>
  <c r="R30" i="7"/>
  <c r="S21" i="7"/>
  <c r="S20" i="7"/>
  <c r="D28" i="6" l="1"/>
  <c r="J28" i="6" s="1"/>
  <c r="O83" i="11" l="1"/>
  <c r="N83" i="11"/>
  <c r="M83" i="11"/>
  <c r="O82" i="11"/>
  <c r="N82" i="11"/>
  <c r="M82" i="11"/>
  <c r="O81" i="11"/>
  <c r="N81" i="11"/>
  <c r="M81" i="11"/>
  <c r="O80" i="11"/>
  <c r="N80" i="11"/>
  <c r="M80" i="11"/>
  <c r="O79" i="11"/>
  <c r="N79" i="11"/>
  <c r="M79" i="11"/>
  <c r="O78" i="11"/>
  <c r="N78" i="11"/>
  <c r="M78" i="11"/>
  <c r="O77" i="11"/>
  <c r="N77" i="11"/>
  <c r="M77" i="11"/>
  <c r="O76" i="11"/>
  <c r="N76" i="11"/>
  <c r="M76" i="11"/>
  <c r="O75" i="11"/>
  <c r="N75" i="11"/>
  <c r="M75" i="11"/>
  <c r="O74" i="11"/>
  <c r="N74" i="11"/>
  <c r="M74" i="11"/>
  <c r="O73" i="11"/>
  <c r="N73" i="11"/>
  <c r="M73" i="11"/>
  <c r="O72" i="11"/>
  <c r="N72" i="11"/>
  <c r="M72" i="11"/>
  <c r="O71" i="11"/>
  <c r="N71" i="11"/>
  <c r="M71" i="11"/>
  <c r="O70" i="11"/>
  <c r="O69" i="11"/>
  <c r="N70" i="11"/>
  <c r="M70" i="11"/>
  <c r="N69" i="11"/>
  <c r="M69" i="11"/>
  <c r="J31" i="6"/>
  <c r="P14" i="6"/>
  <c r="D32" i="6"/>
  <c r="J32" i="6" s="1"/>
  <c r="P74" i="11" l="1"/>
  <c r="P73" i="11"/>
  <c r="P69" i="11"/>
  <c r="P72" i="11"/>
  <c r="P70" i="11"/>
  <c r="P71" i="11"/>
  <c r="P75" i="11"/>
  <c r="J30" i="6"/>
  <c r="K30" i="6" s="1"/>
  <c r="D30" i="6"/>
  <c r="D29" i="6"/>
  <c r="I30" i="6" l="1"/>
  <c r="J29" i="6" s="1"/>
  <c r="D36" i="6"/>
  <c r="D37" i="6"/>
  <c r="H29" i="6" l="1"/>
  <c r="J38" i="6"/>
  <c r="J134" i="6"/>
  <c r="J72" i="6"/>
  <c r="E40" i="6" l="1"/>
  <c r="K41" i="6" l="1"/>
  <c r="D41" i="6" l="1"/>
  <c r="I40" i="6"/>
  <c r="D40" i="6"/>
  <c r="E56" i="6"/>
  <c r="J43" i="6"/>
  <c r="D43" i="6"/>
  <c r="I42" i="6"/>
  <c r="I43" i="6" s="1"/>
  <c r="D42" i="6"/>
  <c r="E57" i="6"/>
  <c r="E45" i="6"/>
  <c r="D45" i="6" s="1"/>
  <c r="I44" i="6"/>
  <c r="I45" i="6" s="1"/>
  <c r="D44" i="6"/>
  <c r="E46" i="6"/>
  <c r="D46" i="6" s="1"/>
  <c r="E47" i="6"/>
  <c r="J47" i="6" s="1"/>
  <c r="I46" i="6"/>
  <c r="I47" i="6" s="1"/>
  <c r="D47" i="6" l="1"/>
  <c r="J46" i="6" s="1"/>
  <c r="H46" i="6" s="1"/>
  <c r="J41" i="6"/>
  <c r="I41" i="6" s="1"/>
  <c r="J40" i="6" s="1"/>
  <c r="H40" i="6" s="1"/>
  <c r="J45" i="6"/>
  <c r="J42" i="6"/>
  <c r="H42" i="6" s="1"/>
  <c r="J44" i="6"/>
  <c r="H44" i="6" s="1"/>
  <c r="J49" i="6" l="1"/>
  <c r="D49" i="6"/>
  <c r="D48" i="6"/>
  <c r="I48" i="6"/>
  <c r="I49" i="6" s="1"/>
  <c r="J48" i="6" l="1"/>
  <c r="H48" i="6" s="1"/>
  <c r="J51" i="6"/>
  <c r="D51" i="6"/>
  <c r="D50" i="6"/>
  <c r="I50" i="6"/>
  <c r="I51" i="6" s="1"/>
  <c r="J53" i="6"/>
  <c r="D53" i="6"/>
  <c r="D52" i="6"/>
  <c r="I52" i="6"/>
  <c r="I53" i="6" s="1"/>
  <c r="E69" i="6"/>
  <c r="J55" i="6"/>
  <c r="D55" i="6"/>
  <c r="I54" i="6"/>
  <c r="I55" i="6" s="1"/>
  <c r="D54" i="6"/>
  <c r="J50" i="6" l="1"/>
  <c r="H50" i="6" s="1"/>
  <c r="J52" i="6"/>
  <c r="H52" i="6" s="1"/>
  <c r="J54" i="6"/>
  <c r="H54" i="6" s="1"/>
  <c r="D56" i="6" l="1"/>
  <c r="D57" i="6"/>
  <c r="J57" i="6"/>
  <c r="I56" i="6"/>
  <c r="I58" i="6"/>
  <c r="I59" i="6" s="1"/>
  <c r="J59" i="6"/>
  <c r="D59" i="6"/>
  <c r="D58" i="6"/>
  <c r="E70" i="6"/>
  <c r="I57" i="6" l="1"/>
  <c r="J56" i="6" s="1"/>
  <c r="H56" i="6" s="1"/>
  <c r="J58" i="6"/>
  <c r="H58" i="6" l="1"/>
  <c r="J62" i="6" l="1"/>
  <c r="D62" i="6"/>
  <c r="I61" i="6"/>
  <c r="I62" i="6" s="1"/>
  <c r="D61" i="6"/>
  <c r="I63" i="6"/>
  <c r="I64" i="6" s="1"/>
  <c r="J64" i="6"/>
  <c r="D64" i="6"/>
  <c r="D63" i="6"/>
  <c r="D65" i="6"/>
  <c r="D66" i="6"/>
  <c r="D70" i="6"/>
  <c r="J66" i="6"/>
  <c r="I65" i="6"/>
  <c r="I66" i="6" s="1"/>
  <c r="D67" i="6"/>
  <c r="D68" i="6"/>
  <c r="D69" i="6"/>
  <c r="D72" i="6"/>
  <c r="D73" i="6"/>
  <c r="D74" i="6"/>
  <c r="D75" i="6"/>
  <c r="D76" i="6"/>
  <c r="D78" i="6"/>
  <c r="D79" i="6"/>
  <c r="D80" i="6"/>
  <c r="I67" i="6"/>
  <c r="I68" i="6" s="1"/>
  <c r="K70" i="6"/>
  <c r="J61" i="6" l="1"/>
  <c r="J63" i="6"/>
  <c r="H63" i="6" s="1"/>
  <c r="J65" i="6"/>
  <c r="H65" i="6" s="1"/>
  <c r="J67" i="6"/>
  <c r="H67" i="6" s="1"/>
  <c r="J68" i="6"/>
  <c r="I69" i="6"/>
  <c r="I70" i="6" s="1"/>
  <c r="J70" i="6"/>
  <c r="J71" i="6"/>
  <c r="I73" i="6"/>
  <c r="J74" i="6"/>
  <c r="K74" i="6"/>
  <c r="E77" i="6"/>
  <c r="D77" i="6" s="1"/>
  <c r="I77" i="6"/>
  <c r="I75" i="6"/>
  <c r="J76" i="6"/>
  <c r="J78" i="6"/>
  <c r="K78" i="6"/>
  <c r="J80" i="6"/>
  <c r="H61" i="6" l="1"/>
  <c r="J69" i="6"/>
  <c r="I74" i="6"/>
  <c r="J73" i="6" s="1"/>
  <c r="J77" i="6"/>
  <c r="J75" i="6"/>
  <c r="I79" i="6"/>
  <c r="K80" i="6"/>
  <c r="F83" i="6"/>
  <c r="E88" i="6"/>
  <c r="E89" i="6"/>
  <c r="I88" i="6"/>
  <c r="I89" i="6" s="1"/>
  <c r="T28" i="7"/>
  <c r="J89" i="6"/>
  <c r="H69" i="6" l="1"/>
  <c r="H73" i="6"/>
  <c r="H77" i="6"/>
  <c r="H75" i="6"/>
  <c r="I80" i="6"/>
  <c r="J79" i="6" s="1"/>
  <c r="T33" i="7"/>
  <c r="S35" i="7" s="1"/>
  <c r="S9" i="6"/>
  <c r="E86" i="6"/>
  <c r="D86" i="6" s="1"/>
  <c r="E87" i="6"/>
  <c r="D87" i="6" s="1"/>
  <c r="J87" i="6" s="1"/>
  <c r="K87" i="6" s="1"/>
  <c r="I86" i="6"/>
  <c r="H79" i="6" l="1"/>
  <c r="I87" i="6"/>
  <c r="D90" i="6"/>
  <c r="E90" i="6"/>
  <c r="I90" i="6"/>
  <c r="E93" i="6"/>
  <c r="D93" i="6" s="1"/>
  <c r="I91" i="6"/>
  <c r="K92" i="6"/>
  <c r="D92" i="6"/>
  <c r="J92" i="6" s="1"/>
  <c r="D91" i="6"/>
  <c r="I94" i="6"/>
  <c r="J95" i="6"/>
  <c r="D94" i="6"/>
  <c r="J94" i="6" s="1"/>
  <c r="I93" i="6"/>
  <c r="D95" i="6"/>
  <c r="I103" i="6"/>
  <c r="D97" i="6"/>
  <c r="D96" i="6"/>
  <c r="I96" i="6"/>
  <c r="O259" i="6"/>
  <c r="D99" i="6"/>
  <c r="J99" i="6" s="1"/>
  <c r="D98" i="6"/>
  <c r="I98" i="6"/>
  <c r="J90" i="6" l="1"/>
  <c r="J86" i="6"/>
  <c r="H86" i="6" s="1"/>
  <c r="I92" i="6"/>
  <c r="D88" i="6"/>
  <c r="J93" i="6"/>
  <c r="H93" i="6" s="1"/>
  <c r="J98" i="6"/>
  <c r="H98" i="6" s="1"/>
  <c r="J96" i="6"/>
  <c r="H96" i="6" s="1"/>
  <c r="J97" i="6"/>
  <c r="D101" i="6"/>
  <c r="D100" i="6"/>
  <c r="I100" i="6"/>
  <c r="I102" i="6"/>
  <c r="D103" i="6"/>
  <c r="J103" i="6" s="1"/>
  <c r="D102" i="6"/>
  <c r="J91" i="6" l="1"/>
  <c r="H91" i="6" s="1"/>
  <c r="J102" i="6"/>
  <c r="J100" i="6"/>
  <c r="H100" i="6" s="1"/>
  <c r="J101" i="6"/>
  <c r="I107" i="6"/>
  <c r="H102" i="6" l="1"/>
  <c r="I106" i="6"/>
  <c r="I104" i="6"/>
  <c r="D105" i="6"/>
  <c r="D104" i="6"/>
  <c r="D106" i="6"/>
  <c r="D107" i="6"/>
  <c r="J107" i="6" s="1"/>
  <c r="J104" i="6" l="1"/>
  <c r="H104" i="6" s="1"/>
  <c r="J105" i="6"/>
  <c r="J106" i="6"/>
  <c r="H106" i="6" l="1"/>
  <c r="A115" i="6"/>
  <c r="E109" i="6"/>
  <c r="D109" i="6" s="1"/>
  <c r="J109" i="6" s="1"/>
  <c r="D108" i="6"/>
  <c r="I108" i="6"/>
  <c r="J108" i="6" l="1"/>
  <c r="E111" i="6"/>
  <c r="D111" i="6" s="1"/>
  <c r="J111" i="6" s="1"/>
  <c r="E129" i="6"/>
  <c r="O12" i="6"/>
  <c r="D110" i="6"/>
  <c r="I110" i="6"/>
  <c r="I113" i="6"/>
  <c r="D112" i="6"/>
  <c r="H112" i="6"/>
  <c r="P253" i="6"/>
  <c r="H108" i="6" l="1"/>
  <c r="J110" i="6"/>
  <c r="H110" i="6" s="1"/>
  <c r="E113" i="6"/>
  <c r="D113" i="6" s="1"/>
  <c r="E114" i="6"/>
  <c r="D114" i="6" s="1"/>
  <c r="D116" i="6"/>
  <c r="D115" i="6"/>
  <c r="E117" i="6"/>
  <c r="J113" i="6" l="1"/>
  <c r="H113" i="6" s="1"/>
  <c r="J114" i="6"/>
  <c r="J116" i="6" l="1"/>
  <c r="I115" i="6"/>
  <c r="J115" i="6" l="1"/>
  <c r="E118" i="6"/>
  <c r="H115" i="6" l="1"/>
  <c r="I117" i="6"/>
  <c r="D118" i="6"/>
  <c r="J118" i="6" s="1"/>
  <c r="D117" i="6"/>
  <c r="D120" i="6"/>
  <c r="J120" i="6" s="1"/>
  <c r="I119" i="6"/>
  <c r="D119" i="6"/>
  <c r="J117" i="6" l="1"/>
  <c r="J119" i="6"/>
  <c r="H119" i="6" s="1"/>
  <c r="I122" i="6"/>
  <c r="O3" i="6" s="1"/>
  <c r="D122" i="6"/>
  <c r="J122" i="6" s="1"/>
  <c r="D121" i="6"/>
  <c r="I121" i="6"/>
  <c r="D123" i="6"/>
  <c r="J121" i="6" l="1"/>
  <c r="H117" i="6"/>
  <c r="E127" i="6"/>
  <c r="H121" i="6" l="1"/>
  <c r="I123" i="6"/>
  <c r="H123" i="6"/>
  <c r="D127" i="6"/>
  <c r="I132" i="6"/>
  <c r="D125" i="6"/>
  <c r="E128" i="6"/>
  <c r="D128" i="6" s="1"/>
  <c r="J128" i="6" s="1"/>
  <c r="E126" i="6"/>
  <c r="D126" i="6" s="1"/>
  <c r="I125" i="6"/>
  <c r="I127" i="6"/>
  <c r="E131" i="6"/>
  <c r="D131" i="6" s="1"/>
  <c r="O158" i="6"/>
  <c r="Q155" i="6"/>
  <c r="P158" i="6"/>
  <c r="O160" i="6"/>
  <c r="P160" i="6" s="1"/>
  <c r="R158" i="6" s="1"/>
  <c r="I129" i="6"/>
  <c r="D129" i="6"/>
  <c r="E130" i="6"/>
  <c r="D130" i="6" s="1"/>
  <c r="D133" i="6"/>
  <c r="I133" i="6"/>
  <c r="J133" i="6"/>
  <c r="H133" i="6" s="1"/>
  <c r="F135" i="6"/>
  <c r="D135" i="6" s="1"/>
  <c r="G135" i="6"/>
  <c r="I135" i="6"/>
  <c r="E136" i="6"/>
  <c r="F136" i="6"/>
  <c r="I136" i="6"/>
  <c r="E132" i="6"/>
  <c r="D132" i="6" s="1"/>
  <c r="J132" i="6" s="1"/>
  <c r="Q158" i="6"/>
  <c r="S131" i="6"/>
  <c r="Q157" i="6"/>
  <c r="R157" i="6" s="1"/>
  <c r="I131" i="6"/>
  <c r="D136" i="6" l="1"/>
  <c r="J136" i="6" s="1"/>
  <c r="Q156" i="6"/>
  <c r="R156" i="6" s="1"/>
  <c r="J129" i="6"/>
  <c r="J126" i="6"/>
  <c r="J125" i="6"/>
  <c r="J127" i="6"/>
  <c r="J131" i="6"/>
  <c r="H131" i="6" s="1"/>
  <c r="J130" i="6"/>
  <c r="J135" i="6" l="1"/>
  <c r="H135" i="6" s="1"/>
  <c r="H125" i="6"/>
  <c r="H129" i="6"/>
  <c r="H127" i="6"/>
  <c r="I137" i="6" l="1"/>
  <c r="E140" i="6"/>
  <c r="I155" i="6" l="1"/>
  <c r="I166" i="6"/>
  <c r="I156" i="6"/>
  <c r="I161" i="6"/>
  <c r="I173" i="6"/>
  <c r="I176" i="6"/>
  <c r="I169" i="6"/>
  <c r="I153" i="6"/>
  <c r="I151" i="6"/>
  <c r="I149" i="6"/>
  <c r="I147" i="6"/>
  <c r="I145" i="6"/>
  <c r="I143" i="6"/>
  <c r="I140" i="6"/>
  <c r="O10" i="6" l="1"/>
  <c r="D137" i="6"/>
  <c r="D138" i="6" l="1"/>
  <c r="J138" i="6" s="1"/>
  <c r="E141" i="6"/>
  <c r="J137" i="6" l="1"/>
  <c r="G140" i="6"/>
  <c r="H137" i="6" l="1"/>
  <c r="D141" i="6"/>
  <c r="J141" i="6" s="1"/>
  <c r="D140" i="6"/>
  <c r="J140" i="6" l="1"/>
  <c r="H140" i="6" s="1"/>
  <c r="E147" i="6"/>
  <c r="E145" i="6"/>
  <c r="D145" i="6" l="1"/>
  <c r="D144" i="6"/>
  <c r="J144" i="6" s="1"/>
  <c r="D143" i="6"/>
  <c r="D146" i="6"/>
  <c r="J146" i="6" s="1"/>
  <c r="D148" i="6"/>
  <c r="J148" i="6" s="1"/>
  <c r="D147" i="6"/>
  <c r="J143" i="6" l="1"/>
  <c r="J145" i="6"/>
  <c r="J147" i="6"/>
  <c r="H147" i="6" l="1"/>
  <c r="H145" i="6"/>
  <c r="H143" i="6"/>
  <c r="O5" i="6"/>
  <c r="D150" i="6"/>
  <c r="D149" i="6"/>
  <c r="D152" i="6"/>
  <c r="D151" i="6"/>
  <c r="D153" i="6"/>
  <c r="D154" i="6"/>
  <c r="D17" i="8"/>
  <c r="F17" i="8"/>
  <c r="E18" i="8" s="1"/>
  <c r="I19" i="8"/>
  <c r="E6" i="8"/>
  <c r="K7" i="8"/>
  <c r="K8" i="8"/>
  <c r="K9" i="8"/>
  <c r="K10" i="8"/>
  <c r="K11" i="8"/>
  <c r="K12" i="8"/>
  <c r="K13" i="8"/>
  <c r="K14" i="8"/>
  <c r="K15" i="8"/>
  <c r="K16" i="8"/>
  <c r="K17" i="8"/>
  <c r="J6" i="8"/>
  <c r="K6" i="8" s="1"/>
  <c r="D158" i="6"/>
  <c r="D156" i="6"/>
  <c r="D161" i="6"/>
  <c r="D166" i="6"/>
  <c r="D157" i="6"/>
  <c r="D159" i="6"/>
  <c r="D160" i="6"/>
  <c r="O11" i="6"/>
  <c r="D162" i="6"/>
  <c r="D163" i="6"/>
  <c r="D164" i="6"/>
  <c r="D165" i="6"/>
  <c r="D167" i="6"/>
  <c r="D168" i="6"/>
  <c r="D169" i="6"/>
  <c r="D170" i="6"/>
  <c r="D171" i="6"/>
  <c r="D18" i="8" l="1"/>
  <c r="F6" i="8"/>
  <c r="E7" i="8" s="1"/>
  <c r="F7" i="8" s="1"/>
  <c r="E8" i="8" s="1"/>
  <c r="F8" i="8" s="1"/>
  <c r="F18" i="8"/>
  <c r="D6" i="8"/>
  <c r="J149" i="6"/>
  <c r="J156" i="6"/>
  <c r="J158" i="6"/>
  <c r="J151" i="6"/>
  <c r="J153" i="6"/>
  <c r="K19" i="8"/>
  <c r="D155" i="6"/>
  <c r="J155" i="6" s="1"/>
  <c r="J166" i="6"/>
  <c r="J160" i="6"/>
  <c r="J161" i="6"/>
  <c r="J165" i="6"/>
  <c r="D7" i="8" l="1"/>
  <c r="D8" i="8" s="1"/>
  <c r="H165" i="6"/>
  <c r="H151" i="6"/>
  <c r="H161" i="6"/>
  <c r="H158" i="6"/>
  <c r="H155" i="6"/>
  <c r="H160" i="6"/>
  <c r="H156" i="6"/>
  <c r="H153" i="6"/>
  <c r="H149" i="6"/>
  <c r="E19" i="8"/>
  <c r="D19" i="8" s="1"/>
  <c r="E9" i="8"/>
  <c r="F9" i="8" s="1"/>
  <c r="H166" i="6"/>
  <c r="P3" i="6"/>
  <c r="D9" i="8" l="1"/>
  <c r="F19" i="8"/>
  <c r="E20" i="8" s="1"/>
  <c r="E10" i="8"/>
  <c r="F10" i="8" s="1"/>
  <c r="J169" i="6"/>
  <c r="P6" i="6"/>
  <c r="P12" i="6"/>
  <c r="F20" i="8" l="1"/>
  <c r="E21" i="8" s="1"/>
  <c r="D20" i="8"/>
  <c r="D10" i="8"/>
  <c r="H169" i="6"/>
  <c r="E11" i="8"/>
  <c r="D173" i="6"/>
  <c r="D11" i="8" l="1"/>
  <c r="F21" i="8"/>
  <c r="E22" i="8" s="1"/>
  <c r="D21" i="8"/>
  <c r="F11" i="8"/>
  <c r="E12" i="8" s="1"/>
  <c r="F12" i="8" s="1"/>
  <c r="P11" i="6"/>
  <c r="F22" i="8" l="1"/>
  <c r="E23" i="8" s="1"/>
  <c r="D22" i="8"/>
  <c r="D12" i="8"/>
  <c r="D174" i="6"/>
  <c r="J173" i="6" s="1"/>
  <c r="D176" i="6"/>
  <c r="D175" i="6"/>
  <c r="F23" i="8" l="1"/>
  <c r="D23" i="8"/>
  <c r="H173" i="6"/>
  <c r="D177" i="6"/>
  <c r="J176" i="6" s="1"/>
  <c r="H176" i="6" l="1"/>
  <c r="D178" i="6"/>
  <c r="P9" i="6" l="1"/>
  <c r="D179" i="6"/>
  <c r="D182" i="6" l="1"/>
  <c r="D183" i="6" l="1"/>
  <c r="D184" i="6"/>
  <c r="D185" i="6"/>
  <c r="D186" i="6" l="1"/>
  <c r="D188" i="6"/>
  <c r="D190" i="6"/>
  <c r="H191" i="6" l="1"/>
  <c r="D191" i="6"/>
  <c r="D193" i="6" l="1"/>
  <c r="D194" i="6" l="1"/>
  <c r="D196" i="6" l="1"/>
  <c r="D198" i="6" l="1"/>
  <c r="D199" i="6" l="1"/>
  <c r="D200" i="6" l="1"/>
  <c r="D201" i="6"/>
  <c r="D202" i="6" l="1"/>
  <c r="D203" i="6"/>
  <c r="D204" i="6" l="1"/>
  <c r="D205" i="6" l="1"/>
  <c r="D206" i="6"/>
  <c r="D207" i="6"/>
  <c r="D208" i="6"/>
  <c r="D209" i="6"/>
  <c r="D210" i="6"/>
  <c r="D211" i="6"/>
  <c r="D212" i="6" l="1"/>
  <c r="P5" i="6" l="1"/>
  <c r="P8" i="6" s="1"/>
  <c r="D214" i="6" l="1"/>
  <c r="H215" i="6" l="1"/>
  <c r="D215" i="6"/>
  <c r="D217" i="6" l="1"/>
  <c r="D218" i="6"/>
  <c r="D224" i="6" l="1"/>
  <c r="D223" i="6"/>
  <c r="D222" i="6"/>
  <c r="D220" i="6"/>
  <c r="D221" i="6" l="1"/>
  <c r="K220" i="6" s="1"/>
  <c r="D225" i="6" l="1"/>
  <c r="D226" i="6"/>
  <c r="D227" i="6"/>
  <c r="D230" i="6"/>
  <c r="D228" i="6" l="1"/>
  <c r="D229" i="6" l="1"/>
  <c r="G231" i="6" l="1"/>
  <c r="N4" i="6" s="1"/>
  <c r="D234" i="6" l="1"/>
  <c r="D235" i="6"/>
  <c r="D238" i="6" l="1"/>
  <c r="D239" i="6" l="1"/>
  <c r="D241" i="6" l="1"/>
  <c r="D242" i="6" l="1"/>
  <c r="D243" i="6" l="1"/>
  <c r="O242" i="6" l="1"/>
  <c r="Q239" i="6"/>
  <c r="Q240" i="6"/>
  <c r="O243" i="6"/>
  <c r="D244" i="6"/>
  <c r="D250" i="6" l="1"/>
  <c r="Q3" i="6" l="1"/>
  <c r="H262" i="6" l="1"/>
  <c r="H265" i="6"/>
  <c r="H266" i="6"/>
  <c r="H272" i="6"/>
  <c r="H268" i="6"/>
  <c r="H251" i="6"/>
  <c r="D251" i="6"/>
  <c r="D253" i="6" l="1"/>
  <c r="Q4" i="6" l="1"/>
  <c r="H254" i="6"/>
  <c r="D254" i="6"/>
  <c r="D256" i="6"/>
  <c r="D258" i="6"/>
  <c r="D260" i="6"/>
  <c r="D261" i="6"/>
  <c r="D262" i="6" l="1"/>
  <c r="D264" i="6"/>
  <c r="D263" i="6" l="1"/>
  <c r="D265" i="6" l="1"/>
  <c r="D266" i="6" l="1"/>
  <c r="D267" i="6" l="1"/>
  <c r="D268" i="6" l="1"/>
  <c r="H270" i="6"/>
  <c r="D270" i="6"/>
  <c r="D272" i="6" l="1"/>
  <c r="D274" i="6" l="1"/>
  <c r="D275" i="6" l="1"/>
  <c r="D276" i="6" l="1"/>
  <c r="D277" i="6" l="1"/>
  <c r="H277" i="6" l="1"/>
  <c r="H276" i="6" s="1"/>
  <c r="H275" i="6" s="1"/>
  <c r="H274" i="6" s="1"/>
  <c r="Q8" i="6"/>
  <c r="H283" i="6" l="1"/>
  <c r="H281" i="6"/>
  <c r="D89" i="6"/>
  <c r="N2" i="6" s="1"/>
  <c r="R31" i="7" l="1"/>
  <c r="J88" i="6"/>
  <c r="N6" i="6" s="1"/>
  <c r="O6" i="6" l="1"/>
  <c r="O8" i="6" s="1"/>
  <c r="R33" i="7"/>
  <c r="Q35" i="7" s="1"/>
  <c r="H88" i="6"/>
  <c r="O7" i="6" l="1"/>
  <c r="N5" i="6" s="1"/>
  <c r="N7" i="6" l="1"/>
  <c r="N8" i="6"/>
</calcChain>
</file>

<file path=xl/comments1.xml><?xml version="1.0" encoding="utf-8"?>
<comments xmlns="http://schemas.openxmlformats.org/spreadsheetml/2006/main">
  <authors>
    <author>Author</author>
  </authors>
  <commentList>
    <comment ref="B64" authorId="0" shapeId="0">
      <text>
        <r>
          <rPr>
            <b/>
            <sz val="9"/>
            <color indexed="81"/>
            <rFont val="Tahoma"/>
            <family val="2"/>
          </rPr>
          <t>Author:</t>
        </r>
        <r>
          <rPr>
            <sz val="9"/>
            <color indexed="81"/>
            <rFont val="Tahoma"/>
            <family val="2"/>
          </rPr>
          <t xml:space="preserve">
- mua trực tiếp pin solar bên TQ sẽ có giá rẻ hơn nhiều
- tự lắp đặt là giải pháp đang nghĩ tới
- bắt buộc phải được hòa lưới và không sử dụng acquy
- nhập khẩu và bảo hành là 2 vấn đề liên quan cần giải quyết
- tính toán luôn khấu hao, chi phí bảo trì, thay thế vật tư khi tính thời gian hoàn vốn và hiệu quả đầu tư (VD: 2 năm thay inverter 1 lần,...)</t>
        </r>
      </text>
    </comment>
    <comment ref="B86" authorId="0" shapeId="0">
      <text>
        <r>
          <rPr>
            <b/>
            <sz val="9"/>
            <color indexed="81"/>
            <rFont val="Tahoma"/>
            <family val="2"/>
          </rPr>
          <t>Author:</t>
        </r>
        <r>
          <rPr>
            <sz val="9"/>
            <color indexed="81"/>
            <rFont val="Tahoma"/>
            <family val="2"/>
          </rPr>
          <t xml:space="preserve">
Ted.com 
trungdaosock@gmail.com
354utE40@3</t>
        </r>
      </text>
    </comment>
  </commentList>
</comments>
</file>

<file path=xl/comments2.xml><?xml version="1.0" encoding="utf-8"?>
<comments xmlns="http://schemas.openxmlformats.org/spreadsheetml/2006/main">
  <authors>
    <author>Author</author>
  </authors>
  <commentList>
    <comment ref="D2" authorId="0" shapeId="0">
      <text>
        <r>
          <rPr>
            <b/>
            <sz val="9"/>
            <color indexed="81"/>
            <rFont val="Tahoma"/>
            <family val="2"/>
          </rPr>
          <t>Author:</t>
        </r>
        <r>
          <rPr>
            <sz val="9"/>
            <color indexed="81"/>
            <rFont val="Tahoma"/>
            <family val="2"/>
          </rPr>
          <t xml:space="preserve">
0,6% trên mỗi 2 lượt giao dịch
M: 0,25%
B: 0,35% (0,1% thuế)</t>
        </r>
      </text>
    </comment>
    <comment ref="H2" authorId="0" shapeId="0">
      <text>
        <r>
          <rPr>
            <b/>
            <sz val="9"/>
            <color indexed="81"/>
            <rFont val="Tahoma"/>
            <family val="2"/>
          </rPr>
          <t>Author:
Đã bao gồm phí thuế 2 chiều 0,6%</t>
        </r>
      </text>
    </comment>
    <comment ref="O3" authorId="0" shapeId="0">
      <text>
        <r>
          <rPr>
            <b/>
            <sz val="9"/>
            <color indexed="81"/>
            <rFont val="Tahoma"/>
            <family val="2"/>
          </rPr>
          <t>Author:</t>
        </r>
        <r>
          <rPr>
            <sz val="9"/>
            <color indexed="81"/>
            <rFont val="Tahoma"/>
            <family val="2"/>
          </rPr>
          <t xml:space="preserve">
16-6: ứng 171M mắt 70k
16-3: ứng 282M mất 110k t1
4-3: ứng 18M mất 50k
8-2: ứng 235M mất ~100k
2-2: ứng 21M mất 50k
27-1: mất 50k ứng trước 24,8tr để vào VND
19-1: mất 50k ứng trước 5tr
máu vào ITA nên ứng trước mất 107k ngày 14-1-21</t>
        </r>
      </text>
    </comment>
    <comment ref="P3" authorId="0" shapeId="0">
      <text>
        <r>
          <rPr>
            <b/>
            <sz val="9"/>
            <color indexed="81"/>
            <rFont val="Tahoma"/>
            <family val="2"/>
          </rPr>
          <t>Author:</t>
        </r>
        <r>
          <rPr>
            <sz val="9"/>
            <color indexed="81"/>
            <rFont val="Tahoma"/>
            <family val="2"/>
          </rPr>
          <t xml:space="preserve">
356kk ứng trước 228tr ngày 25-12-20</t>
        </r>
      </text>
    </comment>
    <comment ref="M4" authorId="0" shapeId="0">
      <text>
        <r>
          <rPr>
            <b/>
            <sz val="9"/>
            <color indexed="81"/>
            <rFont val="Tahoma"/>
            <family val="2"/>
          </rPr>
          <t>Author:</t>
        </r>
        <r>
          <rPr>
            <sz val="9"/>
            <color indexed="81"/>
            <rFont val="Tahoma"/>
            <family val="2"/>
          </rPr>
          <t xml:space="preserve">
30098214</t>
        </r>
      </text>
    </comment>
    <comment ref="N4" authorId="0" shapeId="0">
      <text>
        <r>
          <rPr>
            <b/>
            <sz val="9"/>
            <color indexed="81"/>
            <rFont val="Tahoma"/>
            <family val="2"/>
          </rPr>
          <t>Author:</t>
        </r>
        <r>
          <rPr>
            <sz val="9"/>
            <color indexed="81"/>
            <rFont val="Tahoma"/>
            <family val="2"/>
          </rPr>
          <t xml:space="preserve">
8-2-21: +20M</t>
        </r>
      </text>
    </comment>
    <comment ref="O4" authorId="0" shapeId="0">
      <text>
        <r>
          <rPr>
            <b/>
            <sz val="9"/>
            <color indexed="81"/>
            <rFont val="Tahoma"/>
            <family val="2"/>
          </rPr>
          <t>Author:</t>
        </r>
        <r>
          <rPr>
            <sz val="9"/>
            <color indexed="81"/>
            <rFont val="Tahoma"/>
            <family val="2"/>
          </rPr>
          <t xml:space="preserve">
8-2-21: +20M</t>
        </r>
      </text>
    </comment>
    <comment ref="M5" authorId="0" shapeId="0">
      <text>
        <r>
          <rPr>
            <b/>
            <sz val="9"/>
            <color indexed="81"/>
            <rFont val="Tahoma"/>
            <family val="2"/>
          </rPr>
          <t>Author:</t>
        </r>
        <r>
          <rPr>
            <sz val="9"/>
            <color indexed="81"/>
            <rFont val="Tahoma"/>
            <family val="2"/>
          </rPr>
          <t xml:space="preserve">
chốt sổ giao dịch vào ngày 31-12-2020
ghi nhận giá trị tài khoản vào năm sau</t>
        </r>
      </text>
    </comment>
    <comment ref="O5" authorId="0" shapeId="0">
      <text>
        <r>
          <rPr>
            <b/>
            <sz val="9"/>
            <color indexed="81"/>
            <rFont val="Tahoma"/>
            <family val="2"/>
          </rPr>
          <t>Author:</t>
        </r>
        <r>
          <rPr>
            <sz val="9"/>
            <color indexed="81"/>
            <rFont val="Tahoma"/>
            <family val="2"/>
          </rPr>
          <t xml:space="preserve">
VCBS: 70M
SSI: 250M
  + 170M tự có
  + 80M mượn Má (15-12-20)</t>
        </r>
      </text>
    </comment>
    <comment ref="M6" authorId="0" shapeId="0">
      <text>
        <r>
          <rPr>
            <b/>
            <sz val="9"/>
            <color indexed="81"/>
            <rFont val="Tahoma"/>
            <family val="2"/>
          </rPr>
          <t>Author:</t>
        </r>
        <r>
          <rPr>
            <sz val="9"/>
            <color indexed="81"/>
            <rFont val="Tahoma"/>
            <family val="2"/>
          </rPr>
          <t xml:space="preserve">
30098214</t>
        </r>
      </text>
    </comment>
    <comment ref="O6" authorId="0" shapeId="0">
      <text>
        <r>
          <rPr>
            <b/>
            <sz val="9"/>
            <color indexed="81"/>
            <rFont val="Tahoma"/>
            <family val="2"/>
          </rPr>
          <t>Author:</t>
        </r>
        <r>
          <rPr>
            <sz val="9"/>
            <color indexed="81"/>
            <rFont val="Tahoma"/>
            <family val="2"/>
          </rPr>
          <t xml:space="preserve">
1-3-21: 7,5tr rút ra sử dụng không ghi nhận vào lợi nhuận</t>
        </r>
      </text>
    </comment>
    <comment ref="P6" authorId="0" shapeId="0">
      <text>
        <r>
          <rPr>
            <b/>
            <sz val="9"/>
            <color indexed="81"/>
            <rFont val="Tahoma"/>
            <family val="2"/>
          </rPr>
          <t>Author:</t>
        </r>
        <r>
          <rPr>
            <sz val="9"/>
            <color indexed="81"/>
            <rFont val="Tahoma"/>
            <family val="2"/>
          </rPr>
          <t xml:space="preserve">
18-12: cắt lỗ do nhận định sai ko nuôi
16-12: chốt lời TDH 9,6% 
10-8-20: Chốt PET (3,9%) trước chia cổ tức 1k/9k
6-8-20: ghi nhận 1,04tr bên VCBS
14-7: chốt 8000 PET LN:6,7tr
26-6: chốt PET SL 2000 LN:640k
14-5: nghĩ HBC còn tăng nữa mà lại chốt vì đã hòa, bình tâm làm lại
7-4: thấy TT và TDH ko ổn nên chốt sớm bớt lỗ 7M
1-4: mua lại 12k TDH, đã đảm bảo SL
10-3 cắt lỗ do covid ~14tr
</t>
        </r>
      </text>
    </comment>
    <comment ref="Q6" authorId="0" shapeId="0">
      <text>
        <r>
          <rPr>
            <b/>
            <sz val="9"/>
            <color indexed="81"/>
            <rFont val="Tahoma"/>
            <family val="2"/>
          </rPr>
          <t>Author:</t>
        </r>
        <r>
          <rPr>
            <sz val="9"/>
            <color indexed="81"/>
            <rFont val="Tahoma"/>
            <family val="2"/>
          </rPr>
          <t xml:space="preserve">
Trong đó hết 1 triệu ăn nhậu
5570=102.5tr-95.93tr
</t>
        </r>
      </text>
    </comment>
    <comment ref="P7" authorId="0" shapeId="0">
      <text>
        <r>
          <rPr>
            <b/>
            <sz val="9"/>
            <color indexed="81"/>
            <rFont val="Tahoma"/>
            <family val="2"/>
          </rPr>
          <t>Author:</t>
        </r>
        <r>
          <rPr>
            <sz val="9"/>
            <color indexed="81"/>
            <rFont val="Tahoma"/>
            <family val="2"/>
          </rPr>
          <t xml:space="preserve">
Họp HĐCĐ dự kiến: 27-04-2020 hoãn ngày 1-4</t>
        </r>
      </text>
    </comment>
    <comment ref="Q8" authorId="0" shapeId="0">
      <text>
        <r>
          <rPr>
            <b/>
            <sz val="9"/>
            <color indexed="81"/>
            <rFont val="Tahoma"/>
            <family val="2"/>
          </rPr>
          <t>Author:</t>
        </r>
        <r>
          <rPr>
            <sz val="9"/>
            <color indexed="81"/>
            <rFont val="Tahoma"/>
            <family val="2"/>
          </rPr>
          <t xml:space="preserve">
Tổng mua 2490 
Giá trung bình chưa phí + Thuế : 27,721
Take profits: + 1,871 + 1300 
+ 490 - 28,1
+ 1000 - 28,9
+ 1000 - 27,15 + 1,5tr
+ Phí + Thuế 2 chiều: 423k </t>
        </r>
      </text>
    </comment>
    <comment ref="N9" authorId="0" shapeId="0">
      <text>
        <r>
          <rPr>
            <b/>
            <sz val="9"/>
            <color indexed="81"/>
            <rFont val="Tahoma"/>
            <family val="2"/>
          </rPr>
          <t>Author:</t>
        </r>
        <r>
          <rPr>
            <sz val="9"/>
            <color indexed="81"/>
            <rFont val="Tahoma"/>
            <family val="2"/>
          </rPr>
          <t xml:space="preserve">
1-6-22: Mua máy tính, đầu tư vào bản thân, học lập trình R, và các khóa lập trình khác cần thiết
Data - python
</t>
        </r>
      </text>
    </comment>
    <comment ref="O9" authorId="0" shapeId="0">
      <text>
        <r>
          <rPr>
            <b/>
            <sz val="9"/>
            <color indexed="81"/>
            <rFont val="Tahoma"/>
            <family val="2"/>
          </rPr>
          <t>Author:</t>
        </r>
        <r>
          <rPr>
            <sz val="9"/>
            <color indexed="81"/>
            <rFont val="Tahoma"/>
            <family val="2"/>
          </rPr>
          <t xml:space="preserve">
1-10-21: 20M Xmen vay (7-10 trả)
1-22: 67M - thanh toán nợ
1-9-21: 10M - dcugg
23-8-21: 5M - chia sẻ TN
27-7-21: 20M
7/2021: 10,5M
2/2021: 4,5M
Phần lợi nhuận được lấy ra sử dụng và không tái đầu tư trở lại =&gt; tính vào chi phí đầu tư
+</t>
        </r>
      </text>
    </comment>
    <comment ref="Q10" authorId="0" shapeId="0">
      <text>
        <r>
          <rPr>
            <b/>
            <sz val="9"/>
            <color indexed="81"/>
            <rFont val="Tahoma"/>
            <family val="2"/>
          </rPr>
          <t>Author:</t>
        </r>
        <r>
          <rPr>
            <sz val="9"/>
            <color indexed="81"/>
            <rFont val="Tahoma"/>
            <family val="2"/>
          </rPr>
          <t xml:space="preserve">
giá mua trung bình 27,72</t>
        </r>
      </text>
    </comment>
    <comment ref="N12" authorId="0" shapeId="0">
      <text>
        <r>
          <rPr>
            <b/>
            <sz val="9"/>
            <color indexed="81"/>
            <rFont val="Tahoma"/>
            <family val="2"/>
          </rPr>
          <t>Author:</t>
        </r>
        <r>
          <rPr>
            <sz val="9"/>
            <color indexed="81"/>
            <rFont val="Tahoma"/>
            <family val="2"/>
          </rPr>
          <t xml:space="preserve">
10-6: +4tr</t>
        </r>
      </text>
    </comment>
    <comment ref="O12" authorId="0" shapeId="0">
      <text>
        <r>
          <rPr>
            <b/>
            <sz val="9"/>
            <color indexed="81"/>
            <rFont val="Tahoma"/>
            <family val="2"/>
          </rPr>
          <t>Author:</t>
        </r>
        <r>
          <rPr>
            <sz val="9"/>
            <color indexed="81"/>
            <rFont val="Tahoma"/>
            <family val="2"/>
          </rPr>
          <t xml:space="preserve">
Tổng VĐT: 80M
20-4-21: -4M (rút lui)
22-1-21: chia 3M (6M)
13-1-21: nạp thêm 10M
13-1-21: chia 2M (4M)
</t>
        </r>
      </text>
    </comment>
    <comment ref="P12" authorId="0" shapeId="0">
      <text>
        <r>
          <rPr>
            <b/>
            <sz val="9"/>
            <color indexed="81"/>
            <rFont val="Tahoma"/>
            <family val="2"/>
          </rPr>
          <t xml:space="preserve">TT: lịch sử chia </t>
        </r>
        <r>
          <rPr>
            <sz val="9"/>
            <color indexed="81"/>
            <rFont val="Tahoma"/>
            <family val="2"/>
          </rPr>
          <t xml:space="preserve">
29-12-20: 2(4)
18-12-20: 3,2(6,4)
4-12-20: 1,2 (2,4)
23-10-20: 2 (4)  
22-10-20: 0,7 (1,4) 
7-10-20  : 1,2 (2,4)
6-8-20    : 0,4 (0,927)
</t>
        </r>
      </text>
    </comment>
    <comment ref="K24" authorId="0" shapeId="0">
      <text>
        <r>
          <rPr>
            <b/>
            <sz val="9"/>
            <color indexed="81"/>
            <rFont val="Tahoma"/>
            <family val="2"/>
          </rPr>
          <t>Author:</t>
        </r>
        <r>
          <rPr>
            <sz val="9"/>
            <color indexed="81"/>
            <rFont val="Tahoma"/>
            <family val="2"/>
          </rPr>
          <t xml:space="preserve">
giá 17,2k: bán 7k 120M
216-120 = 96M
Cổ tức 15% tiền ~60M
=96-60 = 36 phải trả
Lương 15M =&gt; </t>
        </r>
      </text>
    </comment>
    <comment ref="D33"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4"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5"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6"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7"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E37" authorId="0" shapeId="0">
      <text>
        <r>
          <rPr>
            <b/>
            <sz val="9"/>
            <color indexed="81"/>
            <rFont val="Tahoma"/>
            <family val="2"/>
          </rPr>
          <t>Author:</t>
        </r>
        <r>
          <rPr>
            <sz val="9"/>
            <color indexed="81"/>
            <rFont val="Tahoma"/>
            <family val="2"/>
          </rPr>
          <t xml:space="preserve">
chốt 1339,6</t>
        </r>
      </text>
    </comment>
    <comment ref="D38"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J88" authorId="0" shapeId="0">
      <text>
        <r>
          <rPr>
            <b/>
            <sz val="9"/>
            <color indexed="81"/>
            <rFont val="Tahoma"/>
            <family val="2"/>
          </rPr>
          <t>Author:</t>
        </r>
        <r>
          <rPr>
            <sz val="9"/>
            <color indexed="81"/>
            <rFont val="Tahoma"/>
            <family val="2"/>
          </rPr>
          <t xml:space="preserve">
Ngày 16-2-22 Mua thêm 500 CP giá 44,6k
</t>
        </r>
      </text>
    </comment>
    <comment ref="F89" authorId="0" shapeId="0">
      <text>
        <r>
          <rPr>
            <b/>
            <sz val="9"/>
            <color indexed="81"/>
            <rFont val="Tahoma"/>
            <family val="2"/>
          </rPr>
          <t>Author:</t>
        </r>
        <r>
          <rPr>
            <sz val="9"/>
            <color indexed="81"/>
            <rFont val="Tahoma"/>
            <family val="2"/>
          </rPr>
          <t xml:space="preserve">
Sau khi bán 18,7k giá 55,9 thì mua lại 20,2k giá 55 ngày 1-12
kỳ vọng như cũ - rủi ro như cũ</t>
        </r>
      </text>
    </comment>
    <comment ref="G89" authorId="0" shapeId="0">
      <text>
        <r>
          <rPr>
            <b/>
            <sz val="9"/>
            <color indexed="81"/>
            <rFont val="Tahoma"/>
            <family val="2"/>
          </rPr>
          <t>Author:</t>
        </r>
        <r>
          <rPr>
            <sz val="9"/>
            <color indexed="81"/>
            <rFont val="Tahoma"/>
            <family val="2"/>
          </rPr>
          <t xml:space="preserve">
Mượn 110M</t>
        </r>
      </text>
    </comment>
    <comment ref="I89"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J89" authorId="0" shapeId="0">
      <text>
        <r>
          <rPr>
            <b/>
            <sz val="9"/>
            <color indexed="81"/>
            <rFont val="Tahoma"/>
            <family val="2"/>
          </rPr>
          <t>Author:</t>
        </r>
        <r>
          <rPr>
            <sz val="9"/>
            <color indexed="81"/>
            <rFont val="Tahoma"/>
            <family val="2"/>
          </rPr>
          <t xml:space="preserve">
=([@Volume]*[@Price]+[@Commission])
</t>
        </r>
      </text>
    </comment>
    <comment ref="K89" authorId="0" shapeId="0">
      <text>
        <r>
          <rPr>
            <b/>
            <sz val="9"/>
            <color indexed="81"/>
            <rFont val="Tahoma"/>
            <family val="2"/>
          </rPr>
          <t>Author:</t>
        </r>
        <r>
          <rPr>
            <sz val="9"/>
            <color indexed="81"/>
            <rFont val="Tahoma"/>
            <family val="2"/>
          </rPr>
          <t xml:space="preserve">
=([@Result]-723000)/1000</t>
        </r>
      </text>
    </comment>
    <comment ref="D90" authorId="0" shapeId="0">
      <text>
        <r>
          <rPr>
            <b/>
            <sz val="9"/>
            <color indexed="81"/>
            <rFont val="Tahoma"/>
            <family val="2"/>
          </rPr>
          <t>TT:(Phí 6,7;Thuế 9,84)</t>
        </r>
        <r>
          <rPr>
            <sz val="9"/>
            <color indexed="81"/>
            <rFont val="Tahoma"/>
            <family val="2"/>
          </rPr>
          <t xml:space="preserve">
Phí 9HĐ   : 60,3+67
Thuế 9HĐ: 88,51+99,45
Phí vị thế cộng dồn: 22,95 (9HĐ)</t>
        </r>
      </text>
    </comment>
    <comment ref="J90" authorId="0" shapeId="0">
      <text>
        <r>
          <rPr>
            <b/>
            <sz val="9"/>
            <color indexed="81"/>
            <rFont val="Tahoma"/>
            <family val="2"/>
          </rPr>
          <t>Author:</t>
        </r>
        <r>
          <rPr>
            <sz val="9"/>
            <color indexed="81"/>
            <rFont val="Tahoma"/>
            <family val="2"/>
          </rPr>
          <t xml:space="preserve">
Tổng nạp: 619M
Ngày 24-11: 350M
Nộp ngày 23-11: 269M 
(chỉ GD đc 9HĐ)
</t>
        </r>
      </text>
    </comment>
    <comment ref="I92"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I94" authorId="0" shapeId="0">
      <text>
        <r>
          <rPr>
            <b/>
            <sz val="9"/>
            <color indexed="81"/>
            <rFont val="Tahoma"/>
            <family val="2"/>
          </rPr>
          <t>Author:</t>
        </r>
        <r>
          <rPr>
            <sz val="9"/>
            <color indexed="81"/>
            <rFont val="Tahoma"/>
            <family val="2"/>
          </rPr>
          <t xml:space="preserve">
Margin: 235M 29-10-21
Tính phí 3 tháng</t>
        </r>
      </text>
    </comment>
    <comment ref="J95" authorId="0" shapeId="0">
      <text>
        <r>
          <rPr>
            <b/>
            <sz val="9"/>
            <color indexed="81"/>
            <rFont val="Tahoma"/>
            <family val="2"/>
          </rPr>
          <t>Author:</t>
        </r>
        <r>
          <rPr>
            <sz val="9"/>
            <color indexed="81"/>
            <rFont val="Tahoma"/>
            <family val="2"/>
          </rPr>
          <t xml:space="preserve">
Nộp ngày 18-10: 293,9M</t>
        </r>
      </text>
    </comment>
    <comment ref="I118" authorId="0" shapeId="0">
      <text>
        <r>
          <rPr>
            <b/>
            <sz val="9"/>
            <color indexed="81"/>
            <rFont val="Tahoma"/>
            <family val="2"/>
          </rPr>
          <t>Author:</t>
        </r>
        <r>
          <rPr>
            <sz val="9"/>
            <color indexed="81"/>
            <rFont val="Tahoma"/>
            <family val="2"/>
          </rPr>
          <t xml:space="preserve">
Lãi vay Margin</t>
        </r>
      </text>
    </comment>
    <comment ref="I122" authorId="0" shapeId="0">
      <text>
        <r>
          <rPr>
            <b/>
            <sz val="9"/>
            <color indexed="81"/>
            <rFont val="Tahoma"/>
            <family val="2"/>
          </rPr>
          <t>Author:</t>
        </r>
        <r>
          <rPr>
            <sz val="9"/>
            <color indexed="81"/>
            <rFont val="Tahoma"/>
            <family val="2"/>
          </rPr>
          <t xml:space="preserve">
Lãi vay Margin</t>
        </r>
      </text>
    </comment>
    <comment ref="I132" authorId="0" shapeId="0">
      <text>
        <r>
          <rPr>
            <b/>
            <sz val="9"/>
            <color indexed="81"/>
            <rFont val="Tahoma"/>
            <family val="2"/>
          </rPr>
          <t>Author:</t>
        </r>
        <r>
          <rPr>
            <sz val="9"/>
            <color indexed="81"/>
            <rFont val="Tahoma"/>
            <family val="2"/>
          </rPr>
          <t xml:space="preserve">
phí + lãi vay 170M</t>
        </r>
      </text>
    </comment>
    <comment ref="C136" authorId="0" shapeId="0">
      <text>
        <r>
          <rPr>
            <b/>
            <sz val="9"/>
            <color indexed="81"/>
            <rFont val="Tahoma"/>
            <family val="2"/>
          </rPr>
          <t xml:space="preserve">Author: 
Ngày chốt PHT CP: 4-6-21
Ngày nộp tiền MUA: từ 15-6-21 đến 5-7-21
Tổng nợ: 
     Phát sinh Lãi + Phí hàng ngày: 586,568 + 1,75
     Ngày 19-5-21: 222,357,900 (8900CP) Phát sinh -89,162k/ Ngày
     Ngày 11-5-21: 183,385,903 (6900CP) Phát sinh -52,675k/ Ngày
Mua PHT: 10800CP; 129,6M
</t>
        </r>
        <r>
          <rPr>
            <sz val="9"/>
            <color indexed="81"/>
            <rFont val="Tahoma"/>
            <family val="2"/>
          </rPr>
          <t>7-5: Margin 40%, mua 5900 cổ giá 26,9
10-5: Margin tăng lên 50%, mua 1000 cổ giá 25,65
18-5: mua 2000CP giá TB 25
24-5: Chốt DSCĐ; 18-6: Họp HĐQT; Dự 16-8 chia cổ tức 11% và PHT 10:6</t>
        </r>
      </text>
    </comment>
    <comment ref="I136" authorId="0" shapeId="0">
      <text>
        <r>
          <rPr>
            <b/>
            <sz val="9"/>
            <color indexed="81"/>
            <rFont val="Tahoma"/>
            <family val="2"/>
          </rPr>
          <t>Author:</t>
        </r>
        <r>
          <rPr>
            <sz val="9"/>
            <color indexed="81"/>
            <rFont val="Tahoma"/>
            <family val="2"/>
          </rPr>
          <t xml:space="preserve">
Phí vay tiền MARGIN</t>
        </r>
      </text>
    </comment>
    <comment ref="M192" authorId="0" shapeId="0">
      <text>
        <r>
          <rPr>
            <b/>
            <sz val="9"/>
            <color indexed="81"/>
            <rFont val="Tahoma"/>
            <family val="2"/>
          </rPr>
          <t>Author:</t>
        </r>
        <r>
          <rPr>
            <sz val="9"/>
            <color indexed="81"/>
            <rFont val="Tahoma"/>
            <family val="2"/>
          </rPr>
          <t xml:space="preserve">
cho Xmen mượn 5M, hẹn 1 tháng trả</t>
        </r>
      </text>
    </comment>
    <comment ref="K229" authorId="0" shapeId="0">
      <text>
        <r>
          <rPr>
            <b/>
            <sz val="9"/>
            <color indexed="81"/>
            <rFont val="Tahoma"/>
            <family val="2"/>
          </rPr>
          <t>Author:</t>
        </r>
        <r>
          <rPr>
            <sz val="9"/>
            <color indexed="81"/>
            <rFont val="Tahoma"/>
            <family val="2"/>
          </rPr>
          <t xml:space="preserve">
TKC:   977.941
T0:  4.377.900
Quá tham khi đã lãi hơn 10% mà còn kỳ vọng cao hơn không thực tế nên TT giảm về lại giá mua - giữ để nhận cổ tức 1000VND cho 8k CP
- Canh ra tin cổ tức 10% và giá tăng trên 9k thì chốt hết</t>
        </r>
      </text>
    </comment>
    <comment ref="K230" authorId="0" shapeId="0">
      <text>
        <r>
          <rPr>
            <b/>
            <sz val="9"/>
            <color indexed="81"/>
            <rFont val="Tahoma"/>
            <family val="2"/>
          </rPr>
          <t>Author:</t>
        </r>
        <r>
          <rPr>
            <sz val="9"/>
            <color indexed="81"/>
            <rFont val="Tahoma"/>
            <family val="2"/>
          </rPr>
          <t xml:space="preserve">
Tính toán target sau khi có quyền về
Kỳ vọng: </t>
        </r>
      </text>
    </comment>
    <comment ref="K231" authorId="0" shapeId="0">
      <text>
        <r>
          <rPr>
            <b/>
            <sz val="9"/>
            <color indexed="81"/>
            <rFont val="Tahoma"/>
            <family val="2"/>
          </rPr>
          <t>Author:</t>
        </r>
        <r>
          <rPr>
            <sz val="9"/>
            <color indexed="81"/>
            <rFont val="Tahoma"/>
            <family val="2"/>
          </rPr>
          <t xml:space="preserve">
Gởi 102,5tr 1 tháng được ~357k &lt;=&gt; 0,348%/tháng
Quyết định rút ra tự giao dịch 1 phần, xmen 1 phần =&gt; nếu xmen giao dịch tốt sẽ chuyển giao sau nửa năm tăng tài khoản, thời gian để mình tập trung công việc kiếm tiền</t>
        </r>
      </text>
    </comment>
    <comment ref="K232" authorId="0" shapeId="0">
      <text>
        <r>
          <rPr>
            <b/>
            <sz val="9"/>
            <color indexed="81"/>
            <rFont val="Tahoma"/>
            <family val="2"/>
          </rPr>
          <t>Author:</t>
        </r>
        <r>
          <rPr>
            <sz val="9"/>
            <color indexed="81"/>
            <rFont val="Tahoma"/>
            <family val="2"/>
          </rPr>
          <t xml:space="preserve">
Giao tài khoản cho người khác giao dịch nhưng phải giữ trong giới hạn cho phép - 50M
Đúng là không nói trước đc điều gì !? </t>
        </r>
      </text>
    </comment>
    <comment ref="Q239" authorId="0" shapeId="0">
      <text>
        <r>
          <rPr>
            <b/>
            <sz val="9"/>
            <color indexed="81"/>
            <rFont val="Tahoma"/>
            <family val="2"/>
          </rPr>
          <t xml:space="preserve">Author:
</t>
        </r>
        <r>
          <rPr>
            <sz val="9"/>
            <color indexed="81"/>
            <rFont val="Tahoma"/>
            <family val="2"/>
          </rPr>
          <t>Về 5,5k: -16,5M (15kCP)</t>
        </r>
        <r>
          <rPr>
            <sz val="9"/>
            <color indexed="81"/>
            <rFont val="Tahoma"/>
            <family val="2"/>
          </rPr>
          <t xml:space="preserve">
Về 5k   : -24M (20kCP)
Về 4,5k: -34M 
Về 4k   : -44M</t>
        </r>
      </text>
    </comment>
    <comment ref="Q240" authorId="0" shapeId="0">
      <text>
        <r>
          <rPr>
            <b/>
            <sz val="9"/>
            <color indexed="81"/>
            <rFont val="Tahoma"/>
            <family val="2"/>
          </rPr>
          <t>Author:</t>
        </r>
        <r>
          <rPr>
            <sz val="9"/>
            <color indexed="81"/>
            <rFont val="Tahoma"/>
            <family val="2"/>
          </rPr>
          <t xml:space="preserve">
20000 mà giá về 5k/CP thì sẽ chịu thiệt hại 14 triệu + 15 triệu =&gt; tổng thiệt hại 29 triệu</t>
        </r>
      </text>
    </comment>
    <comment ref="K241" authorId="0" shapeId="0">
      <text>
        <r>
          <rPr>
            <b/>
            <sz val="9"/>
            <color indexed="81"/>
            <rFont val="Tahoma"/>
            <family val="2"/>
          </rPr>
          <t>Author:</t>
        </r>
        <r>
          <rPr>
            <sz val="9"/>
            <color indexed="81"/>
            <rFont val="Tahoma"/>
            <family val="2"/>
          </rPr>
          <t xml:space="preserve">
ngày 15-4 cảm thấy thất vọng vì chốt khi thị trường chưa chạy và bỏ lỡ cơ hội hết lỗ =&gt; tổng thiệt hại do quyết định này ~ 22 triệu =&gt; không nên tự trách mình nữa mà hãy nhìn về phía trước để tỉnh táo đầu tư chứng khoán trong tương lai</t>
        </r>
      </text>
    </comment>
    <comment ref="O243" authorId="0" shapeId="0">
      <text>
        <r>
          <rPr>
            <b/>
            <sz val="9"/>
            <color indexed="81"/>
            <rFont val="Tahoma"/>
            <family val="2"/>
          </rPr>
          <t>Author:</t>
        </r>
        <r>
          <rPr>
            <sz val="9"/>
            <color indexed="81"/>
            <rFont val="Tahoma"/>
            <family val="2"/>
          </rPr>
          <t xml:space="preserve">
Chiến lược ngày 20-3-20
5000 giá 6,5k
5000 giá 6k
5000 giá 5,5k
5000 giá 5k
=&gt; 20000 cổ phiếu
=&gt; Tổng Mua 115 triệu
=&gt; Về 5k =&gt; 100 triệu
Ngày 24/3 do biến động thị trường nên điều chỉnh chờ mua với giá 6,09k</t>
        </r>
      </text>
    </comment>
    <comment ref="K244" authorId="0" shapeId="0">
      <text>
        <r>
          <rPr>
            <b/>
            <sz val="9"/>
            <color indexed="81"/>
            <rFont val="Tahoma"/>
            <family val="2"/>
          </rPr>
          <t>Author:</t>
        </r>
        <r>
          <rPr>
            <sz val="9"/>
            <color indexed="81"/>
            <rFont val="Tahoma"/>
            <family val="2"/>
          </rPr>
          <t xml:space="preserve">
đang tính dành ra khoảng 20M để mua những mã giảm nhiều và cơ bản tốt như MWG, CTG, VGI</t>
        </r>
      </text>
    </comment>
    <comment ref="K246" authorId="0" shapeId="0">
      <text>
        <r>
          <rPr>
            <b/>
            <sz val="9"/>
            <color indexed="81"/>
            <rFont val="Tahoma"/>
            <family val="2"/>
          </rPr>
          <t>Author:</t>
        </r>
        <r>
          <rPr>
            <sz val="9"/>
            <color indexed="81"/>
            <rFont val="Tahoma"/>
            <family val="2"/>
          </rPr>
          <t xml:space="preserve">
VGI là mã nên quan tâm theo dõi và canh điểm mua </t>
        </r>
      </text>
    </comment>
    <comment ref="K251" authorId="0" shapeId="0">
      <text>
        <r>
          <rPr>
            <b/>
            <sz val="9"/>
            <color indexed="81"/>
            <rFont val="Tahoma"/>
            <family val="2"/>
          </rPr>
          <t>Author:</t>
        </r>
        <r>
          <rPr>
            <sz val="9"/>
            <color indexed="81"/>
            <rFont val="Tahoma"/>
            <family val="2"/>
          </rPr>
          <t xml:space="preserve">
kế hoạch nếu trên đường giảm về 7 mua trung bình giá tiếp 100tr cho năm 2020</t>
        </r>
      </text>
    </comment>
    <comment ref="K253" authorId="0" shapeId="0">
      <text>
        <r>
          <rPr>
            <b/>
            <sz val="9"/>
            <color indexed="81"/>
            <rFont val="Tahoma"/>
            <family val="2"/>
          </rPr>
          <t>Author:</t>
        </r>
        <r>
          <rPr>
            <sz val="9"/>
            <color indexed="81"/>
            <rFont val="Tahoma"/>
            <family val="2"/>
          </rPr>
          <t xml:space="preserve">
Vì sai lầm này - giá có thể lên 11 nhưng để tránh lặp lại cho việc đầu tư nên quyết định treo tài khoản tối thiểu 1 tháng để đánh giá lại việc đầu tư - gởi tiết kiệm 1 tháng -
Ngày 25-2: sau khi tạo đỉnh 10,35 thì giá lao dốc vì dich covid bùng lên, 24-2 giá đóng cửa 9,4k</t>
        </r>
      </text>
    </comment>
    <comment ref="K256" authorId="0" shapeId="0">
      <text>
        <r>
          <rPr>
            <b/>
            <sz val="9"/>
            <color indexed="81"/>
            <rFont val="Tahoma"/>
            <family val="2"/>
          </rPr>
          <t>Author:</t>
        </r>
        <r>
          <rPr>
            <sz val="9"/>
            <color indexed="81"/>
            <rFont val="Tahoma"/>
            <family val="2"/>
          </rPr>
          <t xml:space="preserve">
cắt lỗ 1,050M
còn 50% cổ lỗ 2,8%</t>
        </r>
      </text>
    </comment>
    <comment ref="K258" authorId="0" shapeId="0">
      <text>
        <r>
          <rPr>
            <b/>
            <sz val="9"/>
            <color indexed="81"/>
            <rFont val="Tahoma"/>
            <family val="2"/>
          </rPr>
          <t>Author:
Đầu năm viêm phổi corona làm thị trường giảm mạnh</t>
        </r>
        <r>
          <rPr>
            <sz val="9"/>
            <color indexed="81"/>
            <rFont val="Tahoma"/>
            <family val="2"/>
          </rPr>
          <t xml:space="preserve">
Cuối năm đã biết thị trường không dao động mà vẫn kỳ vọng đầu năm tăng nên vào giá cao =&gt; hay bỏ qua những cơ hội giá tốt, mất tiền và chi phí cơ hội do nôn nóng</t>
        </r>
      </text>
    </comment>
    <comment ref="K260" authorId="0" shapeId="0">
      <text>
        <r>
          <rPr>
            <b/>
            <sz val="9"/>
            <color indexed="81"/>
            <rFont val="Tahoma"/>
            <family val="2"/>
          </rPr>
          <t>Author:</t>
        </r>
        <r>
          <rPr>
            <sz val="9"/>
            <color indexed="81"/>
            <rFont val="Tahoma"/>
            <family val="2"/>
          </rPr>
          <t xml:space="preserve">
Mà ngồi nhìn giá không yên sợ mất cơ hội, giá 10 rồi 10,05; quyết định mua vào giá bán 10,1 KL 5000 luôn(về 9.4 mua tiếp 5000) nên giữ luôn 5000 này =&gt; đã khớp 4210 còn 790 khớp sau 20' =&gt; đóng cửa 10.1
=&gt; Mong muốn mua luôn 10k CP trước khi nghỉ tết</t>
        </r>
      </text>
    </comment>
    <comment ref="K261" authorId="0" shapeId="0">
      <text>
        <r>
          <rPr>
            <b/>
            <sz val="9"/>
            <color indexed="81"/>
            <rFont val="Tahoma"/>
            <family val="2"/>
          </rPr>
          <t>Author:</t>
        </r>
        <r>
          <rPr>
            <sz val="9"/>
            <color indexed="81"/>
            <rFont val="Tahoma"/>
            <family val="2"/>
          </rPr>
          <t xml:space="preserve">
dự tính ban đầu là TP giá 11 hoặc 11,2 nhưng có tin căn cứ Mỹ tại Trung đông bị tấn công, vàng dầu tăng nên quyết định bán hết; Bán xong có dư mua 10,6 =&gt; chốt phiên: 10,3</t>
        </r>
      </text>
    </comment>
    <comment ref="K262" authorId="0" shapeId="0">
      <text>
        <r>
          <rPr>
            <b/>
            <sz val="9"/>
            <color indexed="81"/>
            <rFont val="Tahoma"/>
            <family val="2"/>
          </rPr>
          <t>Author:</t>
        </r>
        <r>
          <rPr>
            <sz val="9"/>
            <color indexed="81"/>
            <rFont val="Tahoma"/>
            <family val="2"/>
          </rPr>
          <t xml:space="preserve">
Tiền mới về, dự định 2 hôm trước là mua giá 9,78 để giảm trung bình giá về 10 - sau khi trừ phí và thuế
Nhưng mở đầu phiên giao dịch giá gần khớp nhưng sau đó hưng phấn đẩy giá lên và tâm lý không vững vàng đã hủy và đua lệnh và lỗ nặng (~500k) khi về giữa phiên giao dịch đã chựng lại và quay đầu giảm (đặt biệt là khối lượng giao dịch ko mạnh=&gt;dấu hiệu tăng giá ảo để xả hàng)
=&gt; Tâm lý giao dịch dễ dao động =&gt; Phải khắc phục 
=&gt; Kết thúc phiên 600k cổ khớp, giá đóng cửa 10,1k =&gt; ko biết nên buồn hay vui nhưng vẫn phải rút kinh nghiệm hành động dứt khoát</t>
        </r>
      </text>
    </comment>
    <comment ref="K266" authorId="0" shapeId="0">
      <text>
        <r>
          <rPr>
            <b/>
            <sz val="9"/>
            <color indexed="81"/>
            <rFont val="Tahoma"/>
            <family val="2"/>
          </rPr>
          <t>Author:</t>
        </r>
        <r>
          <rPr>
            <sz val="9"/>
            <color indexed="81"/>
            <rFont val="Tahoma"/>
            <family val="2"/>
          </rPr>
          <t xml:space="preserve">
sau khi mua xong đóng cửa 10,25, ứng mua luôn lại là quyết định đúng</t>
        </r>
      </text>
    </comment>
    <comment ref="K268" authorId="0" shapeId="0">
      <text>
        <r>
          <rPr>
            <b/>
            <sz val="9"/>
            <color indexed="81"/>
            <rFont val="Tahoma"/>
            <family val="2"/>
          </rPr>
          <t>Author:</t>
        </r>
        <r>
          <rPr>
            <sz val="9"/>
            <color indexed="81"/>
            <rFont val="Tahoma"/>
            <family val="2"/>
          </rPr>
          <t xml:space="preserve">
Mua đuổi giá sau phiên thu 6 tăng mạnh =&gt; SAI
Đóng cửa giảm </t>
        </r>
      </text>
    </comment>
    <comment ref="K271" authorId="0" shapeId="0">
      <text>
        <r>
          <rPr>
            <b/>
            <sz val="9"/>
            <color indexed="81"/>
            <rFont val="Tahoma"/>
            <family val="2"/>
          </rPr>
          <t>Author:</t>
        </r>
        <r>
          <rPr>
            <sz val="9"/>
            <color indexed="81"/>
            <rFont val="Tahoma"/>
            <family val="2"/>
          </rPr>
          <t xml:space="preserve">
53628 còn  
13700,155  sẽ về
13720,808 sau 1 ngày 
490*28,1=13769
dự com: 48,2k
Bán 490- kết phiên giao dịch giảm xuống 27,3k
=&gt; Tính phí + thuế đúng (Mua 0,25;Bán 0,35;Tổng 0,6)</t>
        </r>
      </text>
    </comment>
    <comment ref="K275" authorId="0" shapeId="0">
      <text>
        <r>
          <rPr>
            <b/>
            <sz val="9"/>
            <color indexed="81"/>
            <rFont val="Tahoma"/>
            <family val="2"/>
          </rPr>
          <t>Author:
- nhờ Xmen cứu bồ, mua 500 PPC giá 24 bán 26,6 =&gt; 1,3tr chuyển vào đợt này</t>
        </r>
        <r>
          <rPr>
            <sz val="9"/>
            <color indexed="81"/>
            <rFont val="Tahoma"/>
            <family val="2"/>
          </rPr>
          <t xml:space="preserve">
Dự đoán tháng 12 sẽ trả cổ tức 15% (đột biến có thể lên 20%) - Tiếp tục tích lũy lên 2000 đến tháng 12 tìm cơ hội thoát hàng
- Trung bình được cứu: 28,2k</t>
        </r>
      </text>
    </comment>
    <comment ref="K277" authorId="0" shapeId="0">
      <text>
        <r>
          <rPr>
            <b/>
            <sz val="9"/>
            <color indexed="81"/>
            <rFont val="Tahoma"/>
            <family val="2"/>
          </rPr>
          <t>Author:</t>
        </r>
        <r>
          <rPr>
            <sz val="9"/>
            <color indexed="81"/>
            <rFont val="Tahoma"/>
            <family val="2"/>
          </rPr>
          <t xml:space="preserve">
Ghi nhận giá 32 làm mốc tham chiếu lỗ
Cảm nhận: 
- Sai lầm thường trả giá bằng 2 thứ: Tiền bạc hoặc thời gian
Lần này mình chọn thời gian và cơ hội để trả giá - tiếp tục nâng tỷ lệ cổ phiếu nắm giữ lên đợi năm sau</t>
        </r>
      </text>
    </comment>
    <comment ref="G280" authorId="0" shapeId="0">
      <text>
        <r>
          <rPr>
            <b/>
            <sz val="9"/>
            <color indexed="81"/>
            <rFont val="Tahoma"/>
            <family val="2"/>
          </rPr>
          <t>Author:</t>
        </r>
        <r>
          <rPr>
            <sz val="9"/>
            <color indexed="81"/>
            <rFont val="Tahoma"/>
            <family val="2"/>
          </rPr>
          <t xml:space="preserve">
vay 4, trả vào kỳ ứ 200619 của l 100719</t>
        </r>
      </text>
    </comment>
    <comment ref="G281" authorId="0" shapeId="0">
      <text>
        <r>
          <rPr>
            <b/>
            <sz val="9"/>
            <color indexed="81"/>
            <rFont val="Tahoma"/>
            <family val="2"/>
          </rPr>
          <t>Author:</t>
        </r>
        <r>
          <rPr>
            <sz val="9"/>
            <color indexed="81"/>
            <rFont val="Tahoma"/>
            <family val="2"/>
          </rPr>
          <t xml:space="preserve">
vay 3, trả vào l 100619</t>
        </r>
      </text>
    </comment>
  </commentList>
</comments>
</file>

<file path=xl/comments3.xml><?xml version="1.0" encoding="utf-8"?>
<comments xmlns="http://schemas.openxmlformats.org/spreadsheetml/2006/main">
  <authors>
    <author>Author</author>
  </authors>
  <commentList>
    <comment ref="C2" authorId="0" shapeId="0">
      <text>
        <r>
          <rPr>
            <b/>
            <sz val="9"/>
            <color indexed="81"/>
            <rFont val="Tahoma"/>
            <family val="2"/>
          </rPr>
          <t>Author:</t>
        </r>
        <r>
          <rPr>
            <sz val="9"/>
            <color indexed="81"/>
            <rFont val="Tahoma"/>
            <family val="2"/>
          </rPr>
          <t xml:space="preserve">
0,6% trên mỗi 2 lượt giao dịch
M: 0,25%
B: 0,35% (0,1% thuế)</t>
        </r>
      </text>
    </comment>
    <comment ref="I2" authorId="0" shapeId="0">
      <text>
        <r>
          <rPr>
            <b/>
            <sz val="9"/>
            <color indexed="81"/>
            <rFont val="Tahoma"/>
            <family val="2"/>
          </rPr>
          <t>Author:</t>
        </r>
        <r>
          <rPr>
            <sz val="9"/>
            <color indexed="81"/>
            <rFont val="Tahoma"/>
            <family val="2"/>
          </rPr>
          <t xml:space="preserve">
Ghi nhận lại mức độ chấp nhận rủi ro trong ngày giao dịch</t>
        </r>
      </text>
    </comment>
    <comment ref="L4" authorId="0" shapeId="0">
      <text>
        <r>
          <rPr>
            <b/>
            <sz val="9"/>
            <color indexed="81"/>
            <rFont val="Tahoma"/>
            <family val="2"/>
          </rPr>
          <t>Author:</t>
        </r>
        <r>
          <rPr>
            <sz val="9"/>
            <color indexed="81"/>
            <rFont val="Tahoma"/>
            <family val="2"/>
          </rPr>
          <t xml:space="preserve">
30098214</t>
        </r>
      </text>
    </comment>
    <comment ref="M4" authorId="0" shapeId="0">
      <text>
        <r>
          <rPr>
            <b/>
            <sz val="9"/>
            <color indexed="81"/>
            <rFont val="Tahoma"/>
            <family val="2"/>
          </rPr>
          <t>Author:</t>
        </r>
        <r>
          <rPr>
            <sz val="9"/>
            <color indexed="81"/>
            <rFont val="Tahoma"/>
            <family val="2"/>
          </rPr>
          <t xml:space="preserve">
12-5-22: +270M
Chỉ cần 25M cho 1HĐ =&gt; nên chỉ cần nạp 125M lên VSD</t>
        </r>
      </text>
    </comment>
    <comment ref="L6" authorId="0" shapeId="0">
      <text>
        <r>
          <rPr>
            <b/>
            <sz val="9"/>
            <color indexed="81"/>
            <rFont val="Tahoma"/>
            <family val="2"/>
          </rPr>
          <t>Author:</t>
        </r>
        <r>
          <rPr>
            <sz val="9"/>
            <color indexed="81"/>
            <rFont val="Tahoma"/>
            <family val="2"/>
          </rPr>
          <t xml:space="preserve">
30098214</t>
        </r>
      </text>
    </comment>
    <comment ref="M9" authorId="0" shapeId="0">
      <text>
        <r>
          <rPr>
            <b/>
            <sz val="9"/>
            <color indexed="81"/>
            <rFont val="Tahoma"/>
            <family val="2"/>
          </rPr>
          <t>Author:</t>
        </r>
        <r>
          <rPr>
            <sz val="9"/>
            <color indexed="81"/>
            <rFont val="Tahoma"/>
            <family val="2"/>
          </rPr>
          <t xml:space="preserve">
Duy trì Volume từ tháng 5-22 cho đến khi nào lợi nhuận ổn định và tích lũy đủ để đánh 10 lots mà rủi ro vẫn là 130M; &lt;=&gt; 3 tháng đều đặn &gt;= 2m / ngày 
=&gt; Biên độ dao động lớn thì dễ, khi tt giảm dao động sẽ khó thực hiện đc mục tiêu ngày</t>
        </r>
      </text>
    </comment>
    <comment ref="T12" authorId="0" shapeId="0">
      <text>
        <r>
          <rPr>
            <b/>
            <sz val="9"/>
            <color indexed="81"/>
            <rFont val="Tahoma"/>
            <family val="2"/>
          </rPr>
          <t>Author:</t>
        </r>
        <r>
          <rPr>
            <sz val="9"/>
            <color indexed="81"/>
            <rFont val="Tahoma"/>
            <family val="2"/>
          </rPr>
          <t xml:space="preserve">
Hết Tháng 6-22: 
         : Vốn 125M + 4M
6-7-22: Topup 144M</t>
        </r>
      </text>
    </comment>
    <comment ref="Q20" authorId="0" shapeId="0">
      <text>
        <r>
          <rPr>
            <b/>
            <sz val="9"/>
            <color indexed="81"/>
            <rFont val="Tahoma"/>
            <family val="2"/>
          </rPr>
          <t>Author:</t>
        </r>
        <r>
          <rPr>
            <sz val="9"/>
            <color indexed="81"/>
            <rFont val="Tahoma"/>
            <family val="2"/>
          </rPr>
          <t xml:space="preserve">
T1/2022</t>
        </r>
      </text>
    </comment>
    <comment ref="Q21" authorId="0" shapeId="0">
      <text>
        <r>
          <rPr>
            <b/>
            <sz val="9"/>
            <color indexed="81"/>
            <rFont val="Tahoma"/>
            <family val="2"/>
          </rPr>
          <t>Author:</t>
        </r>
        <r>
          <rPr>
            <sz val="9"/>
            <color indexed="81"/>
            <rFont val="Tahoma"/>
            <family val="2"/>
          </rPr>
          <t xml:space="preserve">
T11/2021
</t>
        </r>
      </text>
    </comment>
    <comment ref="R27" authorId="0" shapeId="0">
      <text>
        <r>
          <rPr>
            <b/>
            <sz val="9"/>
            <color indexed="81"/>
            <rFont val="Tahoma"/>
            <family val="2"/>
          </rPr>
          <t>Author:</t>
        </r>
        <r>
          <rPr>
            <sz val="9"/>
            <color indexed="81"/>
            <rFont val="Tahoma"/>
            <family val="2"/>
          </rPr>
          <t xml:space="preserve">
do nạp thêm 7,5M ngày 15-2-22 nên trừ ra 0,2k</t>
        </r>
      </text>
    </comment>
  </commentList>
</comments>
</file>

<file path=xl/comments4.xml><?xml version="1.0" encoding="utf-8"?>
<comments xmlns="http://schemas.openxmlformats.org/spreadsheetml/2006/main">
  <authors>
    <author>Author</author>
  </authors>
  <commentList>
    <comment ref="A13" authorId="0" shapeId="0">
      <text>
        <r>
          <rPr>
            <b/>
            <sz val="9"/>
            <color indexed="81"/>
            <rFont val="Tahoma"/>
            <family val="2"/>
          </rPr>
          <t>Author:</t>
        </r>
        <r>
          <rPr>
            <sz val="9"/>
            <color indexed="81"/>
            <rFont val="Tahoma"/>
            <family val="2"/>
          </rPr>
          <t xml:space="preserve">
chốt PS 2207</t>
        </r>
      </text>
    </comment>
    <comment ref="A38" authorId="0" shapeId="0">
      <text>
        <r>
          <rPr>
            <b/>
            <sz val="9"/>
            <color indexed="81"/>
            <rFont val="Tahoma"/>
            <family val="2"/>
          </rPr>
          <t>Author:</t>
        </r>
        <r>
          <rPr>
            <sz val="9"/>
            <color indexed="81"/>
            <rFont val="Tahoma"/>
            <family val="2"/>
          </rPr>
          <t xml:space="preserve">
chốt phái sinh 2206</t>
        </r>
      </text>
    </comment>
    <comment ref="L51" authorId="0" shapeId="0">
      <text>
        <r>
          <rPr>
            <b/>
            <sz val="9"/>
            <color indexed="81"/>
            <rFont val="Tahoma"/>
            <family val="2"/>
          </rPr>
          <t>Author:</t>
        </r>
        <r>
          <rPr>
            <sz val="9"/>
            <color indexed="81"/>
            <rFont val="Tahoma"/>
            <family val="2"/>
          </rPr>
          <t xml:space="preserve">
Vì tăng khối lượng gấp 4 nên mới nhiều vậy</t>
        </r>
      </text>
    </comment>
    <comment ref="B58" authorId="0" shapeId="0">
      <text>
        <r>
          <rPr>
            <b/>
            <sz val="9"/>
            <color indexed="81"/>
            <rFont val="Tahoma"/>
            <family val="2"/>
          </rPr>
          <t>Author:</t>
        </r>
        <r>
          <rPr>
            <sz val="9"/>
            <color indexed="81"/>
            <rFont val="Tahoma"/>
            <family val="2"/>
          </rPr>
          <t xml:space="preserve">
lộn tháng</t>
        </r>
      </text>
    </comment>
    <comment ref="B59" authorId="0" shapeId="0">
      <text>
        <r>
          <rPr>
            <b/>
            <sz val="9"/>
            <color indexed="81"/>
            <rFont val="Tahoma"/>
            <family val="2"/>
          </rPr>
          <t>Author:</t>
        </r>
        <r>
          <rPr>
            <sz val="9"/>
            <color indexed="81"/>
            <rFont val="Tahoma"/>
            <family val="2"/>
          </rPr>
          <t xml:space="preserve">
lộn tháng</t>
        </r>
      </text>
    </comment>
    <comment ref="B60" authorId="0" shapeId="0">
      <text>
        <r>
          <rPr>
            <b/>
            <sz val="9"/>
            <color indexed="81"/>
            <rFont val="Tahoma"/>
            <family val="2"/>
          </rPr>
          <t>Author:</t>
        </r>
        <r>
          <rPr>
            <sz val="9"/>
            <color indexed="81"/>
            <rFont val="Tahoma"/>
            <family val="2"/>
          </rPr>
          <t xml:space="preserve">
lộn tháng</t>
        </r>
      </text>
    </comment>
    <comment ref="B61" authorId="0" shapeId="0">
      <text>
        <r>
          <rPr>
            <b/>
            <sz val="9"/>
            <color indexed="81"/>
            <rFont val="Tahoma"/>
            <family val="2"/>
          </rPr>
          <t>Author:</t>
        </r>
        <r>
          <rPr>
            <sz val="9"/>
            <color indexed="81"/>
            <rFont val="Tahoma"/>
            <family val="2"/>
          </rPr>
          <t xml:space="preserve">
lộn tháng</t>
        </r>
      </text>
    </comment>
  </commentList>
</comments>
</file>

<file path=xl/sharedStrings.xml><?xml version="1.0" encoding="utf-8"?>
<sst xmlns="http://schemas.openxmlformats.org/spreadsheetml/2006/main" count="2231" uniqueCount="1317">
  <si>
    <t>https://www.youtube.com/watch?v=T77wtm-2exE</t>
  </si>
  <si>
    <t>Link</t>
  </si>
  <si>
    <t>Note</t>
  </si>
  <si>
    <t>Nhạc anh có lyric và dịch nghĩa</t>
  </si>
  <si>
    <t>https://www.youtube.com/watch?v=u9igMr6iLtw&amp;t=</t>
  </si>
  <si>
    <t>https://www.youtube.com/watch?v=QAhxHIbC3HU&amp;index=2&amp;list=RDXRHdudLJwtE</t>
  </si>
  <si>
    <t>Series</t>
  </si>
  <si>
    <t>https://www.youtube.com/watch?v=uNUi-fM_2d8</t>
  </si>
  <si>
    <t>Heal the world - Michael Jackson - Vietsub - lyric</t>
  </si>
  <si>
    <t>3-2-2019</t>
  </si>
  <si>
    <t>http://www.phatdatbinhthoi.com.vn/xe-dieu-khien-rock-crawler-112-5968.htm</t>
  </si>
  <si>
    <t>Tên hàng</t>
  </si>
  <si>
    <t xml:space="preserve">Ngày </t>
  </si>
  <si>
    <t>Giá</t>
  </si>
  <si>
    <t>Ghi chú</t>
  </si>
  <si>
    <t>480k</t>
  </si>
  <si>
    <t>http://www.phatdatbinhthoi.com.vn/ban-ui-hoi-nuoc-yairz-dung-5975.htm</t>
  </si>
  <si>
    <t>BÀN ỦI HƠI NƯỚC YAIRZ ĐỨNG</t>
  </si>
  <si>
    <t>360k</t>
  </si>
  <si>
    <t>12-02-2019</t>
  </si>
  <si>
    <t>Lều xông hơi</t>
  </si>
  <si>
    <t>200k</t>
  </si>
  <si>
    <t>Sendo: user:sodt: Pass:fgmfgje&amp;24</t>
  </si>
  <si>
    <t>Motor giảm tốc 12V 250W</t>
  </si>
  <si>
    <t>https://www.lazada.vn/products/motor-giam-toc-vuong-gocmo-to-giam-toc-tai-ha-noimotor-giam-toc-xe-dap-dien-12v-chat-lieu-hop-kim-cao-cap-ben-trong-loi-dong-phu-kien-huu-ich-cho-xe-dap-dien-i244575419-s313475011.html?spm=a2o4n.searchlist.list.45.6e0a2d2bpamDSh&amp;search=1</t>
  </si>
  <si>
    <t xml:space="preserve">lazada  </t>
  </si>
  <si>
    <t>https://www.sendo.vn/motor-giam-toc-12v-250w-9144567.html?source_block_id=search_ad_products&amp;source_info=desktop2_60_1549966373031_37391641_1_algo4_20_3_4_-1&amp;source_page_id=search_rank</t>
  </si>
  <si>
    <t>sendo</t>
  </si>
  <si>
    <t>https://www.sendo.vn/shop/linh-kien-dien-tu-thu-duc/combo-che-xe-dien-24v350w-giam-toc-12232693.html</t>
  </si>
  <si>
    <t>Bộ combo chế xe điện</t>
  </si>
  <si>
    <t>motor giảm tốc 24v 350w + chân ga+ IC điều tốc 350W + công tắc ổ khóa</t>
  </si>
  <si>
    <t>https://www.dientudat.com/products/mach-dieu-toc-motor-pwm-20a-9v-12v-24v-48v-60v?prsource=recently</t>
  </si>
  <si>
    <t>Mạch điều tốc - có thể chế thêm công tắc đảo chiều</t>
  </si>
  <si>
    <t>Bộ điều tốc động cơ DC có đảo chiều 9V - 60VDC 600W</t>
  </si>
  <si>
    <t>https://www.sendo.vn/motor-giam-toc-24v-350w-9595896.html</t>
  </si>
  <si>
    <t>Motor giảm tốc 24V 350W</t>
  </si>
  <si>
    <t>3000v/phút - giảm tốc còn 330v/p, 18.4A, 2.9kg</t>
  </si>
  <si>
    <t>https://www.sendo.vn/shop/linh-kien-dien-tu-thu-duc/chan-ga-xe-dien-12121144.html</t>
  </si>
  <si>
    <t>Chân ga xe điện</t>
  </si>
  <si>
    <t>bàn 16cm,cao 13.4cm,rộng 5.6cm,đế 10cm</t>
  </si>
  <si>
    <t>https://www.sendo.vn/shop/linh-kien-dien-tu-thu-duc/khoa-xe-dien-12119886.html</t>
  </si>
  <si>
    <t>Ổ khóa xe điện</t>
  </si>
  <si>
    <t>https://www.sendo.vn/shop/linh-kien-dien-tu-thu-duc/ic-dieu-toc-24v500w-13507552.html</t>
  </si>
  <si>
    <t>IC điều tốc 24V500w</t>
  </si>
  <si>
    <t>1.battery-2.motor-3.deraileur-4.Indicator-5.charging port-6.brake light-7.power lock-8.brake line</t>
  </si>
  <si>
    <t>2 chìa + ổ nhựa</t>
  </si>
  <si>
    <t>http://xedienmotordien.com</t>
  </si>
  <si>
    <t>WEB THAM KHẢO - CÓ BÁO GIÁ</t>
  </si>
  <si>
    <t>Có bán Đầy đủ các bộ phận của xe điện - Hà Nam</t>
  </si>
  <si>
    <t>https://www.sendo.vn/shop/linh-kien-dien-tu-thu-duc/can-dao-chieu-motor-12371925.html</t>
  </si>
  <si>
    <t>Cần đảo chiều motor điện DC</t>
  </si>
  <si>
    <t>Nối vào đầu ra của IC điều tốc và động cơ điện; ba vị trí hoạt động</t>
  </si>
  <si>
    <t>https://www.youtube.com/watch?v=6_a9L7apcys&amp;list=PL6gmIJh-gUA-GpUdprizcdeZJPDQsXqE4</t>
  </si>
  <si>
    <t>Tự chế xe điện 4 bánh</t>
  </si>
  <si>
    <t>Cầu sau có động cơ,… 67 clips</t>
  </si>
  <si>
    <t xml:space="preserve">Hnay ngày 15-02-2019 quyết định thực hiện 3 mục tiêu sau đây trong 3 tháng 3,4,5: </t>
  </si>
  <si>
    <t>Thứ 1: học anh văn để phục vụ cho công việc - giao tiếp khách hàng và trao đổi công việc qua mail dễ dàng</t>
  </si>
  <si>
    <t>Thứ 2: Tập cho cơ thể nở nang ra để trí lực minh mẫn trong 1 cơ thể cường tráng, mỗi ngày hít xà đơn 10-30 cái và nâng lên theo thời gian</t>
  </si>
  <si>
    <t>Thứ 3: Rành về thiết kế mẫu vớ và sữa những lỗi máy hư - song song đó là hoàn thiện những ý tưởng quản lý đang thực hiện</t>
  </si>
  <si>
    <t xml:space="preserve">đã mua xong ngày 15/2/19 #14241576331 sendo 185k(lazada - mua luôn (Sendo 185k)) </t>
  </si>
  <si>
    <t>XE ĐIỀU KHIỂN ROCK CRAWLER 1:12</t>
  </si>
  <si>
    <t>Kích thước xe: 20 x 25 x 38 cm - Phát đạt hết bán - mua trên lazada 314k kích thước 27-17-15</t>
  </si>
  <si>
    <t>M</t>
  </si>
  <si>
    <t>TDH</t>
  </si>
  <si>
    <t>fdfd&amp;3dHG</t>
  </si>
  <si>
    <t>TDS2019</t>
  </si>
  <si>
    <t>Shopee đăng ký tài khoản 26/04/19</t>
  </si>
  <si>
    <t>Máy hút bụi mini cầm tay</t>
  </si>
  <si>
    <t>330k</t>
  </si>
  <si>
    <t xml:space="preserve">motor thổi + hút </t>
  </si>
  <si>
    <t>65k</t>
  </si>
  <si>
    <t>26/04/2019</t>
  </si>
  <si>
    <t>Commission</t>
  </si>
  <si>
    <t>Kết luận: Sau khi tìm hiểu giá vật tư và cách thực hiện =&gt; không thực hiện vì không đáp ứng kế hoạch trong năm 2019 - ưu tiên khác</t>
  </si>
  <si>
    <t>NR</t>
  </si>
  <si>
    <t>Date</t>
  </si>
  <si>
    <t>Order</t>
  </si>
  <si>
    <t>Stock</t>
  </si>
  <si>
    <t>Price</t>
  </si>
  <si>
    <t>Volume</t>
  </si>
  <si>
    <t>Average Price</t>
  </si>
  <si>
    <t>Hnay ngày 15-05-19 đánh giá kế hoạch đề ra, kết quả, định hướng và thực hiện trong thời gian tiếp theo</t>
  </si>
  <si>
    <t xml:space="preserve">Thứ 1: học anh văn trong 2 tuần đầu và bỏ rơi tới hiện tại =&gt; đánh giá thất bại </t>
  </si>
  <si>
    <t>Thứ 2: cơ thể teo tóp lại, giờ còn 54kg, giảm 3kg so với ban đầu đề ra, tập thể thao phụ thuộc nhiều vào việc đánh cầu lông buổi chiều, bỏ tập buổi sáng là 1 bước lùi=&gt; đánh giá thất bại</t>
  </si>
  <si>
    <t>Thứ 3: nắm được phần mềm của máy Lonati, tạm biết cách thiết kế vớ trơn cơ bản nhưng vẫn chưa thực sự thành thục thiết kế và thực hành nhiều, cần quyết tâm học làm mẫu hơn nữa, đừng để các công việc vụn vặt làm ảnh hưởng tới định hướng cốt lõi</t>
  </si>
  <si>
    <t>Về ý tưởng quản lý thì qua cọ sát công việc đã nắm được nhiều hơn về mọi việc, nhưng cũng khó thay đổi toàn bộ đúng theo suy nghĩ, nên duy trì nhưng cũng không quá bỏ bê việc quan trọng hơn</t>
  </si>
  <si>
    <t>=&gt; kết luận: đã có những chệch choạc nhất định trong việc thực hiện định hướng và kế hoạch đề ra ban đầu, nên quay lại chú tâm vào điều cốt lõi là rành về máy -thiết kế vận hành- và đừng để những nhiễu loạn công việc kéo đi</t>
  </si>
  <si>
    <t>=&gt; Sức khỏe phải là ưu tiên hàng đầu để đủ sức đảm đương 3 mục tiêu: mẫu+vận hành+kinh doanh trên thị trường thế giới đương nhiên tiếng anh quan trọng</t>
  </si>
  <si>
    <t>=&gt; Ưu tiên tập thể dục buổi sáng hơn đánh cầu lông buổi chiều</t>
  </si>
  <si>
    <t>Notes</t>
  </si>
  <si>
    <t>B</t>
  </si>
  <si>
    <t>Bán xong đóng cửa 12, cash 35,891</t>
  </si>
  <si>
    <t>PPC</t>
  </si>
  <si>
    <t>Ra BCTC giảm hơn so với năm trước, giá down mạnh, giảm sàn</t>
  </si>
  <si>
    <t>tiki</t>
  </si>
  <si>
    <t>gfgmk76**YYH</t>
  </si>
  <si>
    <t>bìa lá A4</t>
  </si>
  <si>
    <t>75k +12k giao</t>
  </si>
  <si>
    <t>Hnay ngày 16-08-19 đã có những thay đổi nhỏ trong mục tiêu, cách thức thực hiện và 1 số kết quả khả quan</t>
  </si>
  <si>
    <t>Thứ 1: học anh văn - tình trạng pending</t>
  </si>
  <si>
    <t>Thứ 2: Tập thể dục duy trì đều đặn tuy có 1 số thời gian bệnh lặt vặt (2 tuần)</t>
  </si>
  <si>
    <t>Thứ 3: kỹ thuật vận hành máy, Tổ chức lại nhân sự công việc nhà máy-đánh giá năng suất làm việc, quy trình làm mẫu báo giá, quản lý đơn hàng, lên kế hoạch triển khai bán hàng qua TMĐT</t>
  </si>
  <si>
    <t>=&gt; Sau 5 tháng làm việc thì thấy mọi việc đang đi vào guồng, quen việc thì sẽ nhẹ nhàng hơn, nhưng còn quá nhiều thứ phải nắm bắt và ý đồ cần thực hiện mà chưa xong</t>
  </si>
  <si>
    <t>=&gt; cần đề ra mục tiêu cụ thể hơn và thời gian hoàn thành, nâng cao hiệu quả công việc của bản thân hơn nữa (Tuấn thay mẫu cực dễ dàng và nhanh lẹ)</t>
  </si>
  <si>
    <t>Ngày 22-9-2019: Thêm 1 kênh đầu tư tìm hiểu thấy hiệu quả: Áp dụng Pin năng lượng mặt trời hòa lưới cho nhà xưởng để tiết kiệm điện và đầu tư</t>
  </si>
  <si>
    <t>Tìm hiểu ban đầu: giá để mua 1watt pin từ 9k đến 17k, 1kW ~ 3 tấm 340w, 1 tấm 340w kích thước khoảng 1mx2mx0,4m, Inverter khoảng 30 triệu cho 20KW, vật tư lắp đặt và nhân công ~50 triệu/20kW ;Gói nếu lắp đặt hoàn chỉnh khoảng 20k/Watt</t>
  </si>
  <si>
    <t>Kế hoạch: phải có 200 triệu trong tay rồi tính toán lại vì lúc đó phụ thuộc vào việc xin hòa lưới, địa điểm áp dụng cho sản xuất vớ với pháp nhân nào, giá thành pin solar và trượt giá tiền,…</t>
  </si>
  <si>
    <t>Nguồn tham khảo: youtube, gwsolar.vn, gpsolar.vn</t>
  </si>
  <si>
    <t>Ghi chú sức khỏe: đã bị ho và đau họng 1 tuần uống thuốc không đỡ mà còn nặng hơn dù đã đánh trứng, kiên trì uống thuốc, xoa dầu, cạo gió, nhưng trong môi trường xưởng bụi sợi thì rất nguy cho sức khỏe, cần lưu tâm và đặt ra hành động thay đổi (1 ngày uống 2 lần nghệ mật ong cho tới khi hết bệnh thì duy trì ngày uống 1 lần)</t>
  </si>
  <si>
    <t>Thời hạn: lấy 200 triệu làm mốc về kinh phí (có thể huy động đủ 300 triệu), khi đủ 200 triệu hoặc chậm nhất là hết 2020 (chính xác 1/3/2021-qua tết cho dễ)</t>
  </si>
  <si>
    <t>Dự tính: Tổng chi phí để làm 20kW Khoảng 300 triệu (trong đó dự phòng 40 triệu); bao gồm 120m2 mặt sàn mái; 9k/1Watt ~ 180 triệu Pin solar; Inverter 20kW ~ 30 triệu; tủ điện, vật tư, dây điện, chống sét lan, cầu dao,… cộng sắt, ốc, vít, nhân công lắp đặt khoảng 50 triệu</t>
  </si>
  <si>
    <t>Nhận định: để đánh giá lại về hiệu suất đầu tư có hơn gởi tiết kiệm 8%/năm sau khi trừ khấu hao dàn pin và giờ nắng trung bình của Sài gòn (hơn 3h/ngày) Ví d: 3kw 1 ngày thu dc 9-12 số điện, 1 số điện khoảng 2k =&gt; 18k đến 24k/ngày, sau 1 năm hiệu suất sinh điện mất đi 10%</t>
  </si>
  <si>
    <t>Ngày 25-11-2019</t>
  </si>
  <si>
    <t>Chuẩn bị chốt sổ kế hoạch năm 2019 và đặt mục tiêu cho năm 2020 - Ví dụ: Về tích lũy: 200tr cho năm 2020 âm lịch; Kinh doanh; Học anh văn; Thể hình;…</t>
  </si>
  <si>
    <t>bao gồm 50k ứng tiền bán</t>
  </si>
  <si>
    <t>Mục đích ban đầu mua lướt - Chiến lược nắm giữ và lướt số ít???</t>
  </si>
  <si>
    <t>Đã nhận cổ tức 1,5k- chốt sổ lời ~800k cho 1000 PPC này</t>
  </si>
  <si>
    <t>Sai lầm cần rút kinh nghiệm</t>
  </si>
  <si>
    <t>Định hình chiến lược đầu tư chứng khoán 2020</t>
  </si>
  <si>
    <t>- Thanh khoản cao</t>
  </si>
  <si>
    <t>- Có thể lướt sóng nâng tỷ lệ nắm giữ</t>
  </si>
  <si>
    <t>- Trả Cổ tức như ngân hàng</t>
  </si>
  <si>
    <t>- Khả năng Giữ và Tăng giá</t>
  </si>
  <si>
    <t>chốt lời 3,3tr</t>
  </si>
  <si>
    <t>- Mục tiêu lợi nhuận 2020: 30%</t>
  </si>
  <si>
    <t>đã phân tích TDH phá lại hỗ trợ 10.3 có khả năng về 9.4 mua lợi giá</t>
  </si>
  <si>
    <t>Chấp nhận mua giá cao vì nghĩ giá sẽ nằm lại trên cản 10,4 và để hoàn thành mục tiêu 10k TDH cho năm 2019</t>
  </si>
  <si>
    <t>=&gt; Nắm giữ 10k TDH: kỳ vọng sẽ chia cổ tức tiền 10% và CP 15% như năm trước, cũng như mức giá kỳ vọng 12-14k =&gt; tổng mức kỳ vọng thu được 40%</t>
  </si>
  <si>
    <t>Ngày 30-1-2020</t>
  </si>
  <si>
    <t>Đánh giá 3 mục tiêu đặt ra đầu năm 2019: học anh văn, thể hình cường tráng, thiết kế mẫu</t>
  </si>
  <si>
    <t>1 - Không học =&gt; mục tiêu bị trượt</t>
  </si>
  <si>
    <t>Mục tiêu đầu năm</t>
  </si>
  <si>
    <t>bán để mai canh mua lại giá thấp hơn vì dịch cúm corona</t>
  </si>
  <si>
    <t>3- Thiết kế mẫu =&gt; biết làm mà chưa tốt và nhanh lắm</t>
  </si>
  <si>
    <t>Mục tiêu 2020</t>
  </si>
  <si>
    <t>4 - Về anh văn: giao tiếp, làm việc với đối tác nước ngoài được</t>
  </si>
  <si>
    <t>2 - Về Sức khỏe: nặng 60kg, thể dục đều đặn hàng ngày</t>
  </si>
  <si>
    <t>5 - Về gia đình: chuẩn bị cho con những gì cần thiết</t>
  </si>
  <si>
    <t>Phí ứng trước tiền bán 50tr</t>
  </si>
  <si>
    <t>Mua chạy theo giá trong khi dịch đang ở cao trào =&gt; nhưng nhận định chỉ nguy hiểm ở vũ hán</t>
  </si>
  <si>
    <t>Total NR</t>
  </si>
  <si>
    <t>Com</t>
  </si>
  <si>
    <t>Fee NR</t>
  </si>
  <si>
    <t>Start New Year</t>
  </si>
  <si>
    <t>Result</t>
  </si>
  <si>
    <t>=&gt; Tăng lượng nắm giữ TDH lên 10000 =&gt; tổng 20000</t>
  </si>
  <si>
    <t>3 - Về công việc: kỹ thuật giỏi, thiết kế mẫu mã đẹp, nhanh, chuẩn xác, quản lý tốt việc sản xuất, nhân sự, vận hành + phát triển mảng bán lẻ</t>
  </si>
  <si>
    <t>Mục tiêu ban đầu về TC là nắm giữ 5K TDH =&gt; Đã hoàn thành mục tiêu nắm giữ 10K CP TDH (tăng thêm giữa năm) cho năm 2019</t>
  </si>
  <si>
    <t>Bán hết vì tình hình dịch có vẻ giảm nhưng còn nhiều diễn biến bất ngờ, thì trường tiềm ẩn rủi ro cao =&gt; ưu tiên bảo toàn vốn (sai lầm vì bán xong giá lên 10,25 liền luôn-và đóng cửa 10,2)</t>
  </si>
  <si>
    <t>1 - Về tài chính: 130M =&gt; tổng 250M</t>
  </si>
  <si>
    <t>null account</t>
  </si>
  <si>
    <t>quyết định chốt sổ TK trước thời hạn để tiếp tục mục tiêu 20000 TDH hoặc cash 200 - có thể sai thời điểm khi dịch vẫn còn diễn biến phức tạp =&gt; suy thoái kinh tế đang treo lơ lửng, nhưng kỳ vọng vào họp DHCD vào tháng 4 và chia cổ tức vào tháng 6 sẽ có điểm thoát + mạo hiểm bắt đáy TDH</t>
  </si>
  <si>
    <r>
      <t>quyết định cắt lỗ do sai lầm lớn, đã nhận định thị trường suy thoái do dịch bệnh diễn biến phức tạp mà vẫn ham vào khi có phiên bulltrap(downjones và vni), cắt lỗ 14%, bài học kinh nghiệm sâu sắc,</t>
    </r>
    <r>
      <rPr>
        <sz val="11"/>
        <color rgb="FFFF0000"/>
        <rFont val="Calibri"/>
        <family val="2"/>
        <scheme val="minor"/>
      </rPr>
      <t xml:space="preserve"> có thể cắt lỗ cũng sai</t>
    </r>
    <r>
      <rPr>
        <sz val="11"/>
        <color theme="1"/>
        <rFont val="Calibri"/>
        <family val="2"/>
        <scheme val="minor"/>
      </rPr>
      <t>, nhưng vẫn phải cắt (chỉ là giờ chắc bị sai thời điểm)</t>
    </r>
  </si>
  <si>
    <t xml:space="preserve">=&gt; phạt 1 tháng ko giao dịch từ ngày 19-2 mà ko tuân thủ khi ngày 5-3 đã giao dịch và hậu quả là lỗ 14%(&lt;=&gt; 14tr) + lãi suất ~400k nữa, </t>
  </si>
  <si>
    <t>=&gt; phạt 2 tháng treo tài khoản không được giao dịch cho dù thị trường có tăng cỡ nào đi nữa và cho dù có cơ hội ngon ăn cỡ nào đi nữa cũng không được vi phạm (bắt đầu 12-3-2020 đến hết 12-5-2020)</t>
  </si>
  <si>
    <t>Chiến lược mua để dành, quyết tâm không mua trong tuần này vì biểu đồ covid đang rất dốc!, suy nghĩ doanh nghiệp ko làm ăn trong 1 năm mà mua CP giá này để năm sau nhận cổ tức 1k/CP (&lt;=&gt; 14%),bị lung lay khi theo dõi giá, bên bán có vẻ chùng xuống khi giá giảm qua nhanh từ 9,6 xuống 6,8 =&gt; tiết cung, thứ 6 có thể tham khảo canh mua giá thấp 3 đến 5k giá 6,6</t>
  </si>
  <si>
    <r>
      <t xml:space="preserve">Dịch trên thế giới vẫn rất nguy hiểm, biểu đồ lên thẳng đứng, tình hình trong nước có vẻ êm, hnay ngày chốt phái sinh VN30 tháng 3, và cơ cấu danh mục các quỹ ETF, quyết định đặt lệnh chờ mua giá sàn hy vọng 1 cú rút nến khi lực bán mạnh, nếu tiếp tục giảm thì tiếp tục thu gom đủ 20000 </t>
    </r>
    <r>
      <rPr>
        <b/>
        <sz val="11"/>
        <color rgb="FFFF0000"/>
        <rFont val="Calibri"/>
        <family val="2"/>
        <scheme val="minor"/>
      </rPr>
      <t>(5k giá 6,5; 5k giá 6; 5k giá 5,5; 5k giá 5)</t>
    </r>
  </si>
  <si>
    <t>Chiến Lược 20-3</t>
  </si>
  <si>
    <t xml:space="preserve">Manh nha hành động mua Trung bình lại TDH giá 7,25k, lại máu định vào 5000 luôn mà dừng lại kịp =&gt; cơ hội vẫn có nhưng phải có chiến lược rõ ràng (Trung bình giá 5000 giá 7k, 5000 giá 6k, 5000 giá 5k???, còn CP nào khác tốt hơn VGI, CTG, HBC, … nên xem xét kỹ hơn, tỷ lệ 3 CP) =&gt; tốt nhất ko vào tuần này </t>
  </si>
  <si>
    <t>2- Thể dục đều đặn =&gt; nhưng bị giảm cân còn 55kg</t>
  </si>
  <si>
    <t>Đặt lệnh chờ mua 6,03 trên giá sàn 0,01(6,02) số lượng 5000, hnay không khớp và giá tăng thì nên kiên nhẫn chờ đợi những phiên giảm tiếp theo, không nên mua đuổi giá và tuân thủ theo lịch trình mua của ngày 20-3; tình hình dịch thế giới vẫn lên thẳng đứng, trong nước đang có nguy cơ bùng lên do nhiều trường hợp nguy cơ cao (ít nhất 3 TH) =&gt; gần kết thúc phiên sáng hủy lệnh mua để chờ đợi 1,2 ngày nữa tránh bulltrap để mua được giá tốt hơn</t>
  </si>
  <si>
    <t>Một ngày thử thách sự kiên nhẫn khi tình hình thế giới tăng mạnh trong đêm trước và thị trường đang xanh, TDH có giá 6,25 để mua, nhưng trong nước tình hình dịch leo thang, nguy cơ cách ly cao, và hnay thứ tư sẽ không kịp hàng về trong tuần, khoảng trống cuối tuần chưa biết chuyện gì sẽ xảy ra =&gt; cho nên vẫn phải kiên nhẫn chờ đợi, nên bỏ qua cơ hội lần này hay nên vào thử 5000??? Khó có câu trả lời thỏa đáng</t>
  </si>
  <si>
    <t>Chiến lược 30-3</t>
  </si>
  <si>
    <t xml:space="preserve">Giá đã giảm gần 40% so với đỉnh- quyết định mua tích trữ 5000 giá 6k;5000 giá 5,5k; 5000 giá 5k; còn lại canh mua những mã giảm sâu mà cơ bản tốt như MWG, CTG, VGI </t>
  </si>
  <si>
    <t>Chiến lược 31-3</t>
  </si>
  <si>
    <t>Mua giá dưới 6k cho đủ 20k</t>
  </si>
  <si>
    <t>Tin tưởng vào chính sách chống dịch của Nhà nước, giữ lại vị thế 10k TDH khi thoát ra ở giá 8,3k; đợi theo dõi tình hình họp HĐCĐ 27-4-20; =&gt; mới đầu giờ chiều đã thấy sai khi vào tiếp 5000 buổi sáng =&gt; do Thủ tướng ban hành cách ly toàn xã hội 15 ngày =&gt; thị trường lao dốc mạnh TDH về 5,65, close giá 5,79 =&gt; xuất hiện lực bắt đáy với Volume hơn 1,3 triệu CP trao tay</t>
  </si>
  <si>
    <t>Chiến lược 1-4</t>
  </si>
  <si>
    <t>Ngưng hoặc có điều kiện giảm tỷ trọng TDH - dịch chuyển qua HCM (kỳ vọng T5 chi cổ tức 15% cho năm 2019)</t>
  </si>
  <si>
    <t>Nhìn nhận HCM giá về vùng hấp dẫn, cũng thường trả cổ tức bằng tiền ~ 15-25% mỗi năm =&gt; tích lũy HCM giá dưới 12,5k</t>
  </si>
  <si>
    <t>Ngày 4-4-2020</t>
  </si>
  <si>
    <t>Mục tiêu tiếng anh cũng chưa triển khai được</t>
  </si>
  <si>
    <t xml:space="preserve">Chốt 7,2M do TDH có thể bị làm giá và thông tin ko minh bạch, và cũng do thị trường cũng như dịch bệnh diễn biến khó lường =&gt; khả năng bị lùa mất hàng =&gt; đúng là BB muốn mua được hàng thì phải khiến nhỏ lẻ rủ hàng ra, phải tỉnh táo nhận định toàn cục chứ không nên chạy theo diễn biến tức thời của giá =&gt; tốt nhất giờ nên đứng ngoài TT trong đợt tăng này ít nhất tới khi tiền về </t>
  </si>
  <si>
    <t xml:space="preserve">Đã vào lệnh mua HBC 10k giá 7.94k mà thoát lệnh =&gt; Kiên NHẪN chờ đợi hay lại mất cơ hội lần nữa??? Khi giá TDH lên trần, HBC lên 8,06 đã thật sự muốn vào bất chấp cuối tuần và cản 800,820 nhưng lưỡng lự và giá đã giảm xuống 8.0 thì đã bình tĩnh trở lại =&gt; NHẪN =&gt; chốt phiên giá 7.99 =&gt; đổi chiến lược qua nắm giữ HBC kỳ vọng giá 14,15k với việc HBC mua 10 triệu CP quỹ </t>
  </si>
  <si>
    <t>HBC</t>
  </si>
  <si>
    <t xml:space="preserve">Lại vào lệnh sai, giữ khi nào đúng mới chốt, 10k giá 6 để về trung bình 7; Close 7,91 =&gt; Sai </t>
  </si>
  <si>
    <t>Kỳ vọng lực mua cuối phiên - có vẻ sau mua bán mạnh, sai tiếp??? =&gt; chốt phiên 8,15 đã có lực mua hỗ trợ</t>
  </si>
  <si>
    <t>Sau khi ra tin về KQKD Quý 1 và dòng tiền thì ko kỳ vọng vào triển vọng của HBC, đã sai và xem thử phải trả giá bao lâu mới chốt dc giá 9 =&gt; giá giảm mạnh về sàn, dc cái KLGD ko quá tệ 5,4 triệu CP</t>
  </si>
  <si>
    <t>Bán ATO mà nó kéo xuống sâu quá, lại sai khi mã đang được hỗ trợ dòng tiền mạnh</t>
  </si>
  <si>
    <r>
      <t xml:space="preserve">Chỉ chốt khi giá &gt;= 9, có thể rút ra ko đầu tư ck nữa hoặc tỷ trọng nhỏ &lt;= 50% </t>
    </r>
    <r>
      <rPr>
        <b/>
        <sz val="11"/>
        <color rgb="FF00B050"/>
        <rFont val="Calibri"/>
        <family val="2"/>
        <scheme val="minor"/>
      </rPr>
      <t>=&gt; ngày 14-5 đã chốt hết giá TB 8,89k</t>
    </r>
  </si>
  <si>
    <t>chiến lược 14-5</t>
  </si>
  <si>
    <t>Trung bình bán 8,89;High:9,18;Close:8,85;May mắn là sau gần 1 tháng đã thoát được HBC và hết lỗ;Cẩn thận phân phối đỉnh</t>
  </si>
  <si>
    <t>Nhận định kinh tế giảm phát do dịch bệnh làm giảm nhu cầu tiêu dùng,thất nghiệp tăng,ảnh hưởng lâu dài đến kinh tế,giảm lãi suất bơm tiền,tiền mất giá,chứng khoán sẽ khó trong trung hạn,cẩn thận tỷ trọng</t>
  </si>
  <si>
    <t>còn lại 16k</t>
  </si>
  <si>
    <t>vào VCBS 2 lần - thử nghiệm người hỗ trợ</t>
  </si>
  <si>
    <t>Có thể phải điều chỉnh mục tiêu tài chính cho năm 2020 về 100M-Tổng 2 năm 220M (Ngày 28-5-20 vẫn còn thấy tỷ lệ giảm này là tham vọng cho năm nay)</t>
  </si>
  <si>
    <t>chiến lược 9-6</t>
  </si>
  <si>
    <t xml:space="preserve">đã mất cơ hội cho đợt tăng trưởng này nên quyết định đứng ngoài hết con sóng này, không biết khi nào, nghiên về chiều hướng 50% TK, 50% CK </t>
  </si>
  <si>
    <t>30,2 vào VCBS, 72,5 vào SSI</t>
  </si>
  <si>
    <t>PET</t>
  </si>
  <si>
    <t>Mua PET kỳ vọng cổ tức trả 10% sau ĐHCĐ 26-6 chậm nhất 29-7, do nằm trong vùng giá mua CPQ nên mua dưới 8,5 (giá xanh nhưng vẫn OK)</t>
  </si>
  <si>
    <t>+640k Thị trường giảm mạnh, bị tâm lý, và nhận định cuối tuần nên thoát ra bớt cho nhẹ nhàng</t>
  </si>
  <si>
    <t>Ngày</t>
  </si>
  <si>
    <t>Mã CK</t>
  </si>
  <si>
    <t>Giá vốn</t>
  </si>
  <si>
    <t>Giá trị vốn</t>
  </si>
  <si>
    <t>VPB</t>
  </si>
  <si>
    <t>CTG</t>
  </si>
  <si>
    <t>STB</t>
  </si>
  <si>
    <t>ITA</t>
  </si>
  <si>
    <t>HDB</t>
  </si>
  <si>
    <t>Ngày 10-7</t>
  </si>
  <si>
    <t xml:space="preserve">PET đã tăng 1,2k cho 8k CP (&lt;=&gt; 10tr), nhưng đang kỳ vọng giá vượt trên 10 vì sẽ ra tin ngày chốt Cổ tức 10% (nửa cuối tháng 7), kỳ vọng giá lên 12k, quyết tâm giữ theo kỳ vọng dù thị trường có nhiều áp lực (kê lệnh bán khủng khi giá tiếp cận vùng 9,7k) =&gt; quyết định giữ lại ko bán đợi lên giá mục tiêu, và cắt khi giá phá 9,5 </t>
  </si>
  <si>
    <t>Ngày 13-7</t>
  </si>
  <si>
    <t>PET hỗ trợ kỹ thuật tại 9,5 và còn ngày chốt cổ tức; quyết định giữ lại đón cơ hội nếu phá xuống 9,5 thì chốt tại vùng 9,2 để bảo toàn lợi nhuận; kỳ vọng chốt tại vùng giá 12k</t>
  </si>
  <si>
    <t xml:space="preserve">chốt hết vì tâm lý bất an về thị trường chung, nhưng có thể sai vì PET đã điều chỉnh khá và có thể bật lại bất kỳ lúc nào, chấp nhận tìm cơ hội khác </t>
  </si>
  <si>
    <t>FRT</t>
  </si>
  <si>
    <t>NKG</t>
  </si>
  <si>
    <t>Ngày 21-7</t>
  </si>
  <si>
    <t>Cash: 79,558M</t>
  </si>
  <si>
    <t>Cash: 79,310</t>
  </si>
  <si>
    <t>- 250k</t>
  </si>
  <si>
    <t>Mua lấy cảm giác thị trường - chốt khi có lời, mục tiêu kiếm lời ít, ko để bị dính lệnh - Thử cách giao dịch nhỏ và kỳ vọng lợi nhuận ít =&gt; kết quả lỗ 250k =&gt; nếu giữ thì còn lỗ nặng hơn gấp mấy lần</t>
  </si>
  <si>
    <t>Tự nhiên giảm sàn lại muốn vào vì trung bình giá và chia cổ tức - chủ động trong lần đầu tư này dù giá có về 6,5k; sau T3 quyết định thoát vì tình hình covid 19 diễn biến phức tạp dù thii trường có tăng cũng nên đứng ngoài quan sát thêm 1 tuần nữa</t>
  </si>
  <si>
    <t>Ngày 31-7-2020</t>
  </si>
  <si>
    <t>Nhận định thị trường không còn ảnh hưởng nhiều bởi tin covid, nhưng cách ly sẽ làm cho doanh nghiệp chững lại, ko tiêu thụ được hàng hóa, ảnh hưởng tiêu cực đến triển vọng trung và dài hạn, tiếp tục canh mua PET để hưởng cổ tức giá dưới 9</t>
  </si>
  <si>
    <t>Ngày 4-8-20</t>
  </si>
  <si>
    <t>Cash: 87,414 = 87,250+0,164</t>
  </si>
  <si>
    <t>Ra tin 17-8 chốt cổ tức 10% mà tk ko có cổ nào!!! Sai lầm ko biết có nối tiếp sai lầm khi hnay mua vào full tk 9500CP = &gt; kỳ vọng chốt được 9,8; Đóng ngày 4-8 giá 9,1 giá mua 8,9 =&gt; ko đu đọt trong ngày mua vậy là ok</t>
  </si>
  <si>
    <t>Ngày 6-8-20</t>
  </si>
  <si>
    <t>Tranh mua khi ra tin thì không nên, nhưng giá vẫn còn vùng mua được nên có thể thỏa mãn nguyên tắc; Giá đóng cửa 9,1</t>
  </si>
  <si>
    <t>Đã tìm ra cơ hội mới với Yến, SKH và SKV như lúc chào sàn, cơ hội để gia tăng nắm giữ lâu dài; 2K SKH; 2K SKV; SKH nên mua giá dưới 19k; SKV nên mua giá dưới 21k</t>
  </si>
  <si>
    <t>Mua cho đủ 10k - cho tròn, Tuần sau canh chốt trước khi chia cổ tức - vì lịch sử năm 18,19 không khả quan lắm sau khi chia; canh chốt vào thứ 3,4 hoặc vùng giá 9.55 -&gt; 9.7</t>
  </si>
  <si>
    <t>Ngày 10-8-20</t>
  </si>
  <si>
    <t>Tạm thời nghỉ ngơi qua tháng 7 âm lịch rồi xem tình hình thị trường canh thời điểm đầu tư mới - cho an toàn</t>
  </si>
  <si>
    <t>Chốt trước thời gian và vùng giá mục tiêu cho an tâm, vì lịch sử trước và sau chia của PET năm 18,19 ko có tăng đột biến, mà còn diễn biến giảm sau chia, chốt 4% LN</t>
  </si>
  <si>
    <t>RT</t>
  </si>
  <si>
    <t>NT</t>
  </si>
  <si>
    <t>Giữ 20 CP lại sau chia để nắm tình hình diễn biến giá</t>
  </si>
  <si>
    <t>SKH</t>
  </si>
  <si>
    <t>Mua và nắm giữ sản vật từ thiên nhiên - nhà máy NGK Yến sào Sanest Khánh Hòa</t>
  </si>
  <si>
    <t>Có giá tốt nên mua nắm giữ đợi cổ tức và kỳ vọng lâu dài tốt hơn tiết kiệm, có thể trung bình giá lên 4 hoặc 5k</t>
  </si>
  <si>
    <t>CEO</t>
  </si>
  <si>
    <t>Máu lao theo khi giá break trên vùng 7.0; có thể sai khi là giá test trong phiên và hồi lại</t>
  </si>
  <si>
    <t>Tiếp tục mua 30 tr, sau khi cân nhắc TDH đã tăng trần hôm qua và CEO</t>
  </si>
  <si>
    <t>Mua 50 để so sánh TDH và CEO khi chạy</t>
  </si>
  <si>
    <t>Nạp vào để MUA TDH vì thấy sai lầm, và cảm nhận game TP Thủ Đức còn khá dài; Bán giá lời để MUA lại giá 18.5; lời 18k</t>
  </si>
  <si>
    <t>Chỉ nên mua 1k thôi, vì giá đã đi hơn 20% rồi, =&gt; ko nên gởi tiết kiệm tốn chi phí và thời gian để chuyển, tận dụng 1 cơ hội nhỏ bên này đã hơn nhiều tháng gởi TK; đã sai khi giá down về, cơ hội trung bình giá, tổng cộng quy hoạch TDH là 3k</t>
  </si>
  <si>
    <t>Cảm xúc chi phối, dồn tất cả vào 1 GAME này, chấp nhận lỗ về 7k ~ 5 triệu =&gt; sai lầm khi để cảm xúc chi phối, nên đợi nhịp hồi rồi vào lệnh sẽ chắc chắn hơn</t>
  </si>
  <si>
    <t>lại tiếp tục bị cuốn vào vòng xoáy trung bình giá lỗ</t>
  </si>
  <si>
    <t>rút chuyển qua TDH vì nhận thấy dòng tiền đang bên đó</t>
  </si>
  <si>
    <t xml:space="preserve">giá TB sau khi chia 20%CP là 7.5; có thể mua giá dưới 9k, 10k nên chốt đợi hồi về </t>
  </si>
  <si>
    <t>Ngày 3-9-20</t>
  </si>
  <si>
    <t>Thị trường vượt 900đ và vẫn không hiểu tại sao tt lại tốt vậy, cẩn trọng vẫn hơn trong giai đoạn này, tốt nhất canh thoát lệnh TDH ko lỗ và tiếp tục chờ đợi, giao dịch với khối lượng nhỏ và chốt lời chắc chắn, ko để bị cuốn theo thị trường tăng giá lúc này =&gt; ưu tiên bảo toàn vốn</t>
  </si>
  <si>
    <t xml:space="preserve">Cảm xúc chi phối, chart giá đang trên vùng đỉnh, tin lỗ 20 tỷ sau soát xét mà ko biết, Vuốt đuôi tin TP Thủ Đức làm cơ sở ko vững chắc =&gt; VUỐT ĐUÔI SAI, xem thử sai lầm này bao lâu mới sửa dc </t>
  </si>
  <si>
    <t>Ngày 4-9-20</t>
  </si>
  <si>
    <t>TT giảm mạnh, TDH yếu, có thể về vùng 6.9, tự trừng phạt bằng cách ko cắt lỗ, cảm nhận sâu sắc sai lầm này nhé Trung, trong bao lâu!!! Và sau này sẽ rút ra đc bài học gì bổ ích!!! Close 7.85</t>
  </si>
  <si>
    <t>Ngày 18-9-20</t>
  </si>
  <si>
    <t>Thực hành không theo dõi thị trường hàng ngày, chỉ phân tích cuối tuần để hành động, tập trung làm tích lũy tiền</t>
  </si>
  <si>
    <t>gom đủ tiền để trung bình giá khi về 6.8; còn không thì để cho có lời</t>
  </si>
  <si>
    <t>nhìn giá là lại muốn giao dịch, về lại 6.8 thì chấp nhận lỗ thêm 1,3tr và chi phí cơ hội của 1,3tr</t>
  </si>
  <si>
    <t>Ngày 22-10-20</t>
  </si>
  <si>
    <t>Tập trung nguồn lực mua vào nắm giữ TDH cho đến khi có lời</t>
  </si>
  <si>
    <t>chưa biết làm gì, nạp vào để đủ tổng 200M cho năm tài khóa 2020</t>
  </si>
  <si>
    <t>mua vào cho đủ 15k</t>
  </si>
  <si>
    <t xml:space="preserve">Ngày 4/12 đột biến khối lượng giao dịch trên 10 triệu CP, đóng cửa 8,29 =&gt; kỳ vọng có tin tốt và dòng tiền nên nắm giữ qua mệnh </t>
  </si>
  <si>
    <t xml:space="preserve">Sử dụng đòn bẫy tài chính bằng lãi suất tiết kiệm của Má- Đảm bảo an toàn VỐN </t>
  </si>
  <si>
    <t>Ngày 15-12-20</t>
  </si>
  <si>
    <t>HCM</t>
  </si>
  <si>
    <t>Ngày 17-12-20</t>
  </si>
  <si>
    <t>Xem xét chốt lại việc giao dịch đầu tư cho năm 2020, chuẩn bị chiến lược và mục tiêu cho năm 2021</t>
  </si>
  <si>
    <t xml:space="preserve">lời 0,79 giá(~9,6%) cho full KL (+13,1tr); ko nên kỳ vọng cao quá trong tình hình kinh tế khó khăn như hiện nay - 50-100% </t>
  </si>
  <si>
    <t>phân tích chưa kỹ, vùng giá cao(có thể cao hơn), nên ham đua lệnh vì sợ mất cơ hội =&gt; mua ngay đỉnh ngắn hạn, mất bình tĩnh vì tham nên phải trả giá nhãn tiền</t>
  </si>
  <si>
    <t>chốt lỗ do vào sai, lỗ 1105k, thoát ra nghỉ ngơi chốt sổ chuẩn bị cho năm 2021 =&gt; sai lầm khi chốt phiên tăng mạnh</t>
  </si>
  <si>
    <t>tiếp tục chờ đợi cơ hội do đánh giá 2021 vẫn là 1 năm tiềm năng của TTCK</t>
  </si>
  <si>
    <t>mua 1000 để không bỏ lỡ sóng tăng của chứng khoán, nếu có giảm thì đã có dự phòng 4,5tr cho khoản thua lỗ này, chốt khi có lời</t>
  </si>
  <si>
    <t>SSI</t>
  </si>
  <si>
    <t>có niềm tin vào sự thăng hoa của dòng chứng trong giai đoạn hiện nay, mua trễ 1 ngày mất 1 ngày giá tốt, nên vào mua giá trần =&gt; sai 2 lần nguyên tắc =&gt; không nên manh động nữa nhé Trung</t>
  </si>
  <si>
    <t xml:space="preserve">Mua đuổi khi TDH bứt phá giá trần trong phiên, chiến lược mạo hiểm nhưng an toàn khi TDH break out giá đỉnh 1 cách nhẹ nhàng </t>
  </si>
  <si>
    <t xml:space="preserve">sai lầm khi bán xong giá trần - quá sai </t>
  </si>
  <si>
    <t>tâm lý bất ổn, muốn kiếm tiền, chấp nhận rủi ro khi giá về 5 chốt hết, lỗ 65tr; kỳ vọng nước lên thuyền lên khi vni phá vùng 1100; cơ sở duy nhất là thị giá trên 11k; chốt phiên giá 6.8; Hôm sau giá tăng 6,5%</t>
  </si>
  <si>
    <t>Mục tiêu 2021</t>
  </si>
  <si>
    <t>2 - Về Sức khỏe: nặng 60kg, thể dục đều đặn hàng ngày =&gt; hoàn thành 70% (nặng 58kg, cầu lông đều đặn)</t>
  </si>
  <si>
    <t>3 - Về công việc: kỹ thuật giỏi, thiết kế mẫu mã đẹp, nhanh, chuẩn xác, quản lý tốt việc sản xuất, nhân sự, vận hành + phát triển mảng bán lẻ =&gt; chưa hoàn thành mục tiêu, chỉ 30%</t>
  </si>
  <si>
    <t>4 - Về anh văn: giao tiếp, làm việc với đối tác nước ngoài được =&gt; hoàn toàn lãng quên 0%</t>
  </si>
  <si>
    <t>5 - Về gia đình: chuẩn bị cho con những gì cần thiết =&gt; con đc mẹ lo cho 5 tháng, ba đc thảnh thơi, hoàn thành 100%</t>
  </si>
  <si>
    <t>7,5tr cho lệnh này, có thể sẽ lại sai nhưng chốt năm tại đây, close 6,95,hôm sau 7,0; canh vùng 6,33 vào lại</t>
  </si>
  <si>
    <t>Ngày 31-12-20</t>
  </si>
  <si>
    <t>Định hình chiến lược đầu tư chứng khoán 2021</t>
  </si>
  <si>
    <t xml:space="preserve">- Tự doanh: </t>
  </si>
  <si>
    <t>+ Margin: 80M</t>
  </si>
  <si>
    <t>- Tổng vốn ban đầu: 320M (Vốn 240M; Margin: 80M)</t>
  </si>
  <si>
    <t xml:space="preserve">- Mục tiêu LN: </t>
  </si>
  <si>
    <t>4 - Về kiến thức: tiến hành lại hoạt động đọc sách định kỳ, và học những điều mới phục vụ cho việc kiếm tiền + phát triển bản thân =&gt; mỗi tháng ít nhất 1 quyển sách, cố gắng 1 tuần 1 cuốn (&lt;=&gt; 1 năm 50 cuốn)</t>
  </si>
  <si>
    <t>3 - Về công việc: tập trung tay nghề sửa máy cho nhanh, gọn, lẹ và có thể bao đc vận hành 55 máy trơn tru và nhanh chóng</t>
  </si>
  <si>
    <t>2 - Về Sức khỏe: tiếp tục duy trì việc tập thể dục, ăn ngủ điều độ, làm việc nghỉ ngơi hợp lý, giữ mức cân nặng phù hợp ~ 58 đến 60kg</t>
  </si>
  <si>
    <t>Ngày 1/1/2021</t>
  </si>
  <si>
    <t>- Đánh giá thị trường: 2020 là 1 năm tốt của TTCK, 2021 theo các chuyên gia tiếp tục là 1 năm tăng trưởng của TTCK; bản thân cũng hy vọng là vậy, nhưng vẫn nghĩ TT sẽ dao động khó đoán hơn 2020, nên cẩn thận giao dịch phải theo PTKT để tìm điểm vào ra cho phù hợp, ko nên đánh cảm tính</t>
  </si>
  <si>
    <t xml:space="preserve">- Nguyên tắc giao dịch: có 2 cách </t>
  </si>
  <si>
    <t>+ Đầu cơ: tìm điểm vào hợp lý theo PTKT và kỳ vọng dòng tiền dẫn dắt, cắt lỗ nếu sai, chốt lời và kỳ vọng đột biến</t>
  </si>
  <si>
    <t xml:space="preserve">+ Đầu tư: cơ bản tốt có thể nắm dài hạn mà ko sợ lỗ, tìm điểm vào ra theo PTKT, ko cần cắt lỗ nếu sai điểm vào, có thể cầm cho đến khi có lời mới bán </t>
  </si>
  <si>
    <t>Tổng kết lợi nhuận năm 2020 là 43tr (VCBS 10,7 &lt;=&gt; 15,28%; SSI 33 &lt;=&gt; ~22 đến 27,5%)</t>
  </si>
  <si>
    <t>1 - Về tài chính: thêm 130M (CK mang về 43M, làm 87M), tổng 250M =&gt; hoàn thành 240M ~ 96%</t>
  </si>
  <si>
    <t>1 - Về tài chính: đã có 240M, Cơ cấu doanh thu dự kiến: lợi nhuận từ đầu tư 20% ~ 50M, kinh doanh 50M, làm 60M =&gt; tổng 400M</t>
  </si>
  <si>
    <t xml:space="preserve">5 - Về gia đình: cố gắng ….. </t>
  </si>
  <si>
    <t>Quá sai khi SSI và TDH đều TRẦN CỨNG kết phiên; 2-1-21 lại thấy quyết định bán là đúng tuy ko mang lại giá trị kinh tế, vì 25/12 có tin xấu mà lái vẫn đánh lên, nếu đánh xuống thì thoát hàng lại cực đúng; ngày 31-12 cục thuế phạt truy thu gần 400 tỷ, gần bằng lợi nhuận 3 năm trước đó cộng lại</t>
  </si>
  <si>
    <t>Ngày 2-1-21</t>
  </si>
  <si>
    <t xml:space="preserve">Cố gắng đứng ngoài đợi đợt điều chỉnh về vùng giá mua được theo PTKT mới vào lệnh, còn ko có điểm vào thì bỏ qua vì năm 2021 còn nhiều thời gian </t>
  </si>
  <si>
    <t>- Hiệu quả đầu tư: hạn chế phí giao dịch trên tổng lợi nhuận</t>
  </si>
  <si>
    <t>Ngày 1-1-21</t>
  </si>
  <si>
    <t>DRH giá đã thoát khỏi vùng sideway, biểu đồ tháng với cây tăng dứt khoát, khối lượng giao dịch lớn xác nhận xu hướng, đồng thời bollinger band đã mở hướng lên phía trên, ngày 4-1 xem xét vào lệnh mua (cây nến tháng Open 6,65 Close 10,65 với hơn 5o triệu cổ phiếu giao dịch trong tháng)</t>
  </si>
  <si>
    <t>nạp vào cho đủ 250M cho năm 2021, tính vào khoản nạp cho năm 2020 cho tròn</t>
  </si>
  <si>
    <t>Ngày 4-1-21</t>
  </si>
  <si>
    <t>DRH</t>
  </si>
  <si>
    <t>lực bán mạnh và mới vào 50% nhưng đã lỗ ~2%, phân vân nhưng thấy khả năng ntn lại dễ trần</t>
  </si>
  <si>
    <t>Sau cuối tuần xem xét thì quyết định vào lệnh theo biểu đồ kỹ thuật tháng, break BB và cây nến tăng 1 cách mạnh mẽ dứt khoát cùng với khối lượng tăng, Tổng số CP hơn 60tr xem là nhẹ mông có thể đầu cơ tăng giá, công ty liên kết KSB chia 20% cổ và thị giá tăng đc xem như là 2 điểm cộng, tuy nhiên về nội tại DRH thì chưa thật sự tốt lắm, với dự án aurora bình đông đóng băng mấy hơn 2 năm, giá tăng hơn 100% trong năm 2020 (đầu năm giá 4k, hiện tại giá 10,65k), xem xét mua trong vùng 10-11k kỳ vọng 16 có thể hy vọng đc đầu cơ lên 21k max lên đc 27k, rủi ro có thể mất hơn 32% (~giá 7,5k; ~80tr) cho deal này</t>
  </si>
  <si>
    <t xml:space="preserve">thực hiện theo PTKT và kỳ vọng cổ đc đẩy giá bất chấp cơ bản và tình hình kinh doanh, đánh cược cho CP penny lớn nhất từ trước tới nay, giữ 1 tháng để theo dõi cây nến tiếp theo sẽ ntn và thật sự thấm thía kết quả của sự tăng giảm này dù có tăng hay giảm; chốt phiên giá 11k; KL 2,5tr CP =&gt; nếu sai quá thì xem xét cắt lỗ chấp nhận sai để làm lại luôn chứ ko nắm giữ </t>
  </si>
  <si>
    <t>Ngày 8-1-21</t>
  </si>
  <si>
    <t xml:space="preserve">Sau ngày giảm hôm 7-1, hôm nay đã có lúc giá giảm sàn và khối lượng giao dịch đột biến(4,314M) và đóng cửa giá giảm mạnh về 11,3; cộng với thời điểm nhạy cảm cuối tuần, giá KSB không giảm(chứng tỏ lượng chứng trôi nổi chắc không còn nhiều); DRH giảm mạnh có vẻ nhỏ lẻ vẫn còn nhiều; đây thực sự là 1 phiên rũ cung hay phân phối thì thời điểm này khó trả lời chính xác được; giữ lại để kỳ vọng là phiên rũ và vẫn phải cắt lỗ khi giá phá lại 10 chấp nhận lỗ hơn 31M để làm lại; Nếu giá bật lên 12,2 thì an tâm nắm giữ </t>
  </si>
  <si>
    <t>Ngày 14-1-21</t>
  </si>
  <si>
    <t>tỷ lệ 10% cho 1 lệnh là tương đối tốt, kỳ vọng quá cao 100% sẽ không khả thi và hơi hoang tưởng trong giai đoạn hiện nay khi thị trường đang ở trên đỉnh cao và giá đã tăng gấp 2 sau năm 2020, trở lại với thực tế và cẩn trọng trong thị trường là điều cần thiết, bảo vệ thành quả và chốt năm âm lịch cho an toàn tài khoản</t>
  </si>
  <si>
    <t>APG</t>
  </si>
  <si>
    <t>chứng khoán An Phát quá yếu (SL cổ lưu hành thấp, cổ đông lớn giữ ~50% mà giá không tăng được), ko nên giữ phân tâm, chốt khi quyền về và có lời 1 ít</t>
  </si>
  <si>
    <t>Ngày 16-1-21</t>
  </si>
  <si>
    <t>Cân nhắc lại về phương pháp đầu tư, nên chọn ra từ 2 đến 3 nhóm ngành kinh doanh, và trong từng ngành lại chọn ra 1 đến 2 công ty, từ đó có sự chuyển dịch tỷ trọng trong từng thời điểm cho thích hợp với xu hướng của thị trường và có thể hạn chế rủi ro cũng như có thể không đứng ngoài cuộc vui chung; hiện tại ngành chứng đang là tiêu điểm của giới đầu tư khi KLGD hàng ngày duy trì trên 15k tỷ 1 phiên</t>
  </si>
  <si>
    <t xml:space="preserve">Mua đuổi vì cảm nhận dòng tiền lại vào ITA sau khi KBC trần, Quá máu vì giá đang tăng mạnh, và quá hay khi đặt mua đúng giá đỉnh, chốt ngày 8,29, mất 3,9M; chốt tuần 8,36, hỗ trợ gần nhất tại 8, mua thêm sau khi về nữa </t>
  </si>
  <si>
    <t xml:space="preserve">để cây nến tuần rồi chốt, quá dở khi T3 về có lời mà không chốt, hòa cũng không chốt, giờ sàn cũng không chốt, câu hỏi đặt ra là mai sẽ ntn </t>
  </si>
  <si>
    <t>Ngày 22-1-21</t>
  </si>
  <si>
    <t>KBC</t>
  </si>
  <si>
    <t>chốt phiên vẫn giữ được dư mua trần nhưng vni ko còn tăng nhiều, lực chốt lời mạnh</t>
  </si>
  <si>
    <t>để mua trong phiên vì nghĩ sẽ có giá xanh, mua chậm chân lại gần và giá tím; chốt phiên giá vẫn tím</t>
  </si>
  <si>
    <t>Mua full ATO ko biết ntn, có bị hố không, nhưng sợ trong phiên giật mua không được hoặc dư mua trần nên quyết tâm mua ATO - LO NHƯ KHÔNG VÌ GIÁ ATO THAM CHIẾU, khả năng có giá đỏ trong phiên, nhưng tham chiếu cũng ok, giá đóng cửa 27,7 hơn 1 line vì lực chốt lời vni tương đối mạnh, có lúc PPC giao dịch trên 29, vẫn đúng cho cây nến tuần như phân tích, và giá mua như năm 2019 thì không có gì phải lo nhiều khi nắm giữ; đọc tin không kỹ, LNST năm 2020 thua 20% so với 2019, tăng 58% LNTT là do kế hoạch đặt ra giảm nhiều, nhưng cũng có thể kỳ vọng sẽ đc chia đủ 20% vào kỳ tháng 4/2021</t>
  </si>
  <si>
    <t>sau khi cắt lỗ ITA đã định ngưng nhưng tìm được mã PPC với kết quả kinh doanh tốt và định giá PE đang ở mức 9 so với 16 của thị trường và số lượng cổ phiếu trôi nổi cũng thấp khoảng 155 triệu CP, lợi nhuận năm 2020 mới chia 350VND còn lại khoản 1650VND nên có thể xem xét giải ngân và kỳ vọng lợi nhuận từ 10 đến 20% cho 2 tháng nắm giữ, nếu lỗ về 22 thì phải giữ để nhận cổ tức và đợi có lời mới chốt, tiếp tục mua thêm nếu giá giảm để trung bình giá</t>
  </si>
  <si>
    <t>1 tháng sau ngày 1-2 đã không thành sự thật vì chốt 13-1-21; nếu sai lầm thì 3 phiên về có thể phải cắt lỗ luôn; T3 về giá 12,1 ko phải cắt lỗ, xem xét cắt lỗ khi giá phá 10,65 về 10, kỳ vọng cây M1 sẽ là xanh, nên hạn chế theo dõi diễn biến trong phiên, tránh manh động mà ra quyết định sai, nên để chốt cây M1; CHỐT LỖ khi giá phá 10; không chịu nổi nhiệt và chốt ngày 13/1 ngay khi vni test vùng đỉnh 1204, DRH chốt ngày 12,3k và vni điều chỉnh -0,52% về 1186 =&gt; chốt quá may vì đó hiện là vùng đỉnh, ngày 25/1 giá đã phá thủng hỗ trợ 10</t>
  </si>
  <si>
    <t>Ngày 25-1-21</t>
  </si>
  <si>
    <t xml:space="preserve">KBC có dòng tiền đang vào, giá tăng mạnh, cầu giá cao còn lớn, PPC giá chưa tăng bao nhiêu, kết quả kinh doanh tốt, tới tháng 5 khả năng đc chia cổ tức bằng tiền ít nhất 6% trên tiền đầu tư - hơn gởi ngân hàng cả năm -; =&gt; dòng tiền đầu cơ làm cho KBC chạy mạnh mẽ, làm cho tỷ lệ chia để vào lệnh giữa 2 mã gây ức chế, có thể xem xét phần lợi nhuận để giao dịch mạo hiểm kỳ vọng lợi nhuận cao </t>
  </si>
  <si>
    <t>TCP KBC</t>
  </si>
  <si>
    <t>Ngày 26-1-21</t>
  </si>
  <si>
    <t>KBC đã bị chỉnh và lực bán rất mạnh, PPC lại tăng trong thị trường giảm, quá hợp lý khi gần như vào full PPC =&gt; đừng để phần nổi của thị trường đánh lừa cảm giác, đóng cửa PPC 28,15, KBC 42,55; hầu như lần nào thay đổi vào lệnh ko theo dự tính nghỉ ngơi thì đều bị hố, PPC có biểu đồ rất đẹp cho tuần và tháng xem xét giữ lại; PTKT biểu đồ tháng của PPC hình thành mô hình 2 đáy, giá nằm trên hỗ trợ 26,04, mục tiêu giá là 32,08</t>
  </si>
  <si>
    <t>có thể chia ra chốt sớm hơn; 25-1 t3 về chốt luôn vì KBC có cản vùng 49k, hoặc kỳ vọng cao thì có thể chốt trước 300 đến 400; T1 giá giảm mạnh, tình hình bi quan, về sẽ chốt hết dù có lỗ; sai lầm nên chốt dù có lỗ 756k</t>
  </si>
  <si>
    <t>VND</t>
  </si>
  <si>
    <t>hy vọng không bị lỗ kép vì thoát KBC và ứng trước tiền để vào VND, mạo hiểm mà cũng không mạo hiểm; đóng cửa thành ra lại mạo hiểm, có thể phải tiếp tục cắt lỗ t3</t>
  </si>
  <si>
    <t>Mua vào theo dõi chờ hồi, hỗ trợ 8,5</t>
  </si>
  <si>
    <t>Ngày 27-1-21</t>
  </si>
  <si>
    <t>sau khi cắt lỗ KBC thì ham hố ứng trước tiền bán và vào lệnh mua VND khi chưa nghiên cứu kỹ, thật là 1 sai lầm chí mạng khi đầu tư, nghe theo người khác mà ko phải tự mình quyết định, cờ bạc luôn có 1 kết cục như nhau - mất tiền, mất niềm tin -</t>
  </si>
  <si>
    <t>Ngày 28-1-21</t>
  </si>
  <si>
    <t>buồn và thất vọng khi không dứt khoát thoát khỏi thị trường giá xuống, gồng lỗ thì lỗ tới bao giờ, bán thì sợ thị trường giật lại, giữ thì tt cứ đi xuống, PPC hàng cơ bản cố thể nắm giữ nhận cổ tức tháng 4/2021 6%/năm , tiếp tục tích lũy thêm, thêm 82 ca dương tính covid ở hải dương =&gt; bán tất tay PPC giá sàn 25,25 nguy cơ mai PPC hồi thì chịu, tùy cơ ứng biến nếu thật sự giá rẻ và cổ tức tốt, hoặc cổ phiếu đầu cơ giảm rất mạnh; bong bóng tài sản khắp mọi nơi, có thể sẽ điều chỉnh mạnh, không nên ham hố giao dịch nhiều</t>
  </si>
  <si>
    <t>close 6,42</t>
  </si>
  <si>
    <t xml:space="preserve">khi đủ target hoặc tới khi nhận cổ tức, tùy cơ ứng biến, nhưng sẽ không chịu cắt nếu lỗ =&gt; phải cắt lỗ vì tin quá xấu đã đến covid come back 82 ca nhiễm, tìm cơ hội khác làm lại =&gt; đóng cửa phiên sau tăng lên 26,45 mất hơn 10tr vì cắt sớm </t>
  </si>
  <si>
    <t>Ngày 30-1-21</t>
  </si>
  <si>
    <t>chiết khấu phải cao hơn bình thường thì mới có thể xem xét bắt đáy từng phần; ngành chứng thì có SHS hoặc VND; điện thì có PPC; Phân bón thì có phân bón bình điền DPM BFC; bđs kcn thì có KBC; dòng viettel công nghệ 5G thì có CTR hoặc VGI</t>
  </si>
  <si>
    <t>Năm</t>
  </si>
  <si>
    <t>Lời</t>
  </si>
  <si>
    <t>Tăng thêm trong năm</t>
  </si>
  <si>
    <t>Kế hoạch giúp công nhân tiết kiệm và có động lực làm việc, cũng như gắn bó với công việc</t>
  </si>
  <si>
    <t>Tiền</t>
  </si>
  <si>
    <t>Số tháng</t>
  </si>
  <si>
    <t>Tháng</t>
  </si>
  <si>
    <t>Tính tròn năm</t>
  </si>
  <si>
    <t>Tính theo góp tháng</t>
  </si>
  <si>
    <t>Tổng kết năm</t>
  </si>
  <si>
    <t>Tổng năm</t>
  </si>
  <si>
    <t>Tích lũy</t>
  </si>
  <si>
    <t>Phần tăng thêm trong năm</t>
  </si>
  <si>
    <t>Ngày 2-2-21</t>
  </si>
  <si>
    <t>1 lần nữa lại manh động vì sợ vuột mất cơ hội, vào lại PPC với giá 24,6; vì giá có thể về 22 hoặc 20 nên vùng 24,6 giải ngân cũng tương đối an toàn; cổ tức dự đoán 6% vào tháng 5/2021; lại thấy sai lầm khi bật biểu đồ tháng, lợi nhuận năm 2017,2018 đạt cao như năm 2020 mà giá dao động từ 13 đến 16k; năm 2019 Lợi nhuận cao hơn mà giá cũng dao động từ 19k đến 26k; 2020 lợi nhuận thấp hơn 2019 mà giá lại đang vùng giá cao 25k; đúng là đang đu đọt trong 3 đến 5 năm trở lại đây</t>
  </si>
  <si>
    <t>giữa 2 lựa chọn PPC và BFC đã không suy xét mà vào PPC, vào BFC đang ở vùng đáy nhiều năm và kết quả làm ăn tăng trưởng thì sẽ tốt hơn; sau khi xem xét lại thì lựa chọn PPC cũng ko phải là tồi tuy nhiên sẽ ko tăng trưởng bằng dòng chứng khoán, nhưng giá PPC khó phá được hỗ trợ 20, có thể chốt ở vùng 28</t>
  </si>
  <si>
    <t>Ngày 3-2-21</t>
  </si>
  <si>
    <t>Trong 1 thị trường sôi động thì nên vào những cổ phiếu hút dòng tiền hoặc hưởng lợi nhiều nhất, đây là thời kỳ của dòng chứng với thanh khoản cao và giá biến động mạnh, rủi ro cao lợi nhuận cao, mà tốt nhất là chia tài khoản ra để đảm bảo vừa đu trend và vừa bảo toàn vốn</t>
  </si>
  <si>
    <t>mua đuổi hy vọng chốt thứ 6 T3 (hoặc Thứ 2,3) khi dòng tiền ko còn giao dịch nhiều nữa, có khả năng đẩy lên, không thôi trở thành cổ đông dài hạn để nhận cổ tức luôn (6%); tốt nhất là nếu ko lỗ thì vẫn phải chốt hết trước tết âm lịch</t>
  </si>
  <si>
    <t>chia ra chốt 2 lần, 2 giá khác nhau</t>
  </si>
  <si>
    <t>GIL</t>
  </si>
  <si>
    <t>Mua thời điểm chưa hợp lý lắm nhưng có thể còn đu trend được</t>
  </si>
  <si>
    <t>Ngày 8-2-21</t>
  </si>
  <si>
    <t>GIL tổng cổ phiếu 36tr, nên có thể kỳ vọng vào game đẩy giá lên 80 hoặc trên 100 với thông tin hỗ trợ EPS khoảng 7k, thị trường của GIL ổn định và tăng trưởng trong dịch (amazon); kỳ vọng 80 sẽ chốt</t>
  </si>
  <si>
    <t>Ngày 22-2-21</t>
  </si>
  <si>
    <t>sai lầm khi chốt GIL, tập kiên định lại</t>
  </si>
  <si>
    <t>MBB</t>
  </si>
  <si>
    <t>Biết thêm công cụ S-Saving: tiết kiệm trong SSI; và xác định đứng ngoài 1 tuần cuối tháng 2 này để quan sát vì giá đã tiệm cận vùng kháng cự mạnh, nhìn giá tăng để kiềm chế cảm xúc, còn nguyên tiền là việc nắm bắt cơ hội sẽ chủ động hơn, cố lên tôi ơi; MBB có giá tốt lại thêm hầu như cổ ngân hàng tăng giá trở lại, làm manh nha xuất hiện hành động tất toán tài khoản để vào lệnh mua 2k MBB=&gt; kết quả ko vào và giá đã giảm về 26,7 có hành động đẩy giá cuối phiên lên 0,1, tiếp tục theo dõi và tuân thủ đứng ngoài quan sát tối thiểu 1 tuần</t>
  </si>
  <si>
    <t>Ngày 23-2-21</t>
  </si>
  <si>
    <t>Hôm nay là 1 ngày thử thách thật sự, JP Morgan đánh giá các cổ phiếu ngân hàng của VN tốt nhất trong khu vực, Nước ngoài mua ròng liên tục và hnay mua vào hơn 3,6tr cổ phiếu MBB, giá tăng ngoạn mục từ 26,7 tham chiếu lên 27,5, đang giao dịch tại 27,3; thật sự muốn mua; tiếp tục cố gắng đứng ngoài hết tuần như dự tính, qua tuần phân tích có thể vào giá cao hơn 28 cũng ok; đã tất toán tiết kiệm, giá tăng mạnh mẽ, định vào lệnh mua đuổi tại 27,4 mà ngưng kịp thời, gởi lại 1 tuần 270M</t>
  </si>
  <si>
    <t>Ngày 24-2-21</t>
  </si>
  <si>
    <t>Mua ato bị sai khi giá giảm liền sau đó</t>
  </si>
  <si>
    <t>Quyết định vào 2k MBB và 2k VND để đánh ngắn hạn, có khoản dự phòng khi giá giảm mạnh; không thể để 2 thứ cùng mất đc, phải giữ lại công việc để còn tích lũy nạp thêm vào; lại 1 lần nữa phá vỡ kế hoạch và phải trả giá, có thể xem xét hủy bỏ kênh đầu tư tài chính nếu MÌNH không tuân thủ kế hoạch và nguyên tắc do mình đề ra.</t>
  </si>
  <si>
    <t>vì lại vào sai nên t3 xem xét chốt hết dù có lỗ, và xem xét lại việc đầu tư, nếu không tuân thủ được nguyên tắc và kế hoạch thì nên dừng lại</t>
  </si>
  <si>
    <t>Ngày 26-2-21</t>
  </si>
  <si>
    <t>Ngành thép và NKG là nhân tố mới cần nghiên cứu và tập trung đầu tư</t>
  </si>
  <si>
    <t>trần, mua theo kỳ vọng break cản trên, giá trị sổ sách 18k, eps ổn, có thể xem xét full nếu triển vọng ngành thép năm 2021 tốt, trần cứng thì tiếc là đã ko giữ lệnh mua 2000CP, chờ mua tiếp khi tt hốt hết dư mua trần, lại hủy vì nikkei giảm gần 4%</t>
  </si>
  <si>
    <t>Ngày 1-3-21</t>
  </si>
  <si>
    <t>Đã đặt lệnh mua đuổi NKG nhưng kịp dừng lại trước giá gần trần vì đã là 2 cây trần liên tiếp, trong hnay hoặc mai có thể mua đc giá không quá cao 18,85; kế hoạch là mai 2-3 sẽ chốt hết MBB và VND vì hôm nọ đã nhận định là vào sai, may mà chốt lời đc , không tham giá nào cũng chốt</t>
  </si>
  <si>
    <t>Ngày 2-3-21</t>
  </si>
  <si>
    <t>hôm qua thị trường châu á có phiên tăng tốt, dj có phiên bứt phá 600 điểm, ttck vn không đón tin gì xấu, khả năng sẽ phá đỉnh và mình đang có lợi thế t+ nên giữ lại chờ đợi tín hiệu và vùng giá mục tiêu mới chốt để tối ưu hóa lợi nhuận; chốt hết sau khi tt có nhịp điều chỉnh - theo dõi giá trong phiên không biết có nên không?!?</t>
  </si>
  <si>
    <t xml:space="preserve">rút lợi nhuận để sử dụng, và coi như bắt đầu lại với 270M, không ghi nhận khoản lợi nhuận này vào tổng kết - đã ghi nhận 3 lệnh lời - coi như vẫn nạp 20M </t>
  </si>
  <si>
    <t>Ngày 3-3-21</t>
  </si>
  <si>
    <t>Đánh một trận lớn với DQC, thư giá 33, thị giá 24,1; PE 37,37 cho năm 2020, SLCP 34M, cổ đông lớn 50%, kỳ vọng PE 2021 sẽ giảm, giá đã 3 phiên trần liên tiếp, khi vào được lệnh là phiên trần thứ tư, KLGD khoảng hơn 200N cổ/phiên; kỳ vọng giá sẽ trên 32; về lỗ vùng 18,20</t>
  </si>
  <si>
    <t>Ngày 4-3-21</t>
  </si>
  <si>
    <t xml:space="preserve">Sau 1 đêm theo dõi ck tg, Mỹ cuối phiên về giá đỏ nhẹ vì lợi suất trái phiếu lại tăng, châu á mở cửa giảm tương đối 1% và 1,5%, chứng tỏ tt đang rất rủi ro, biết là dqc đang được đầu cơ mạnh nhưng cũng đã đi đc 3 phiên trần, hnay nữa là phiên thứ tư, rủi ro cũng ko ít, nên quyết định dừng lại theo dõi tiếp, thà bỏ qua cơ hội, để tìm cơ hội khác, chứ ham hố lại bị dính thì khổ, có thể mua 500 đến 1k để phiêu cùng thị trường và đc thì bù lỗ 50k ứng trước, không vào đc thì thôi nên đứng ngoài; đã gởi tk 1 tuần để lấy lại 50k ứng trước, lỗ mất mấy ngày </t>
  </si>
  <si>
    <t>Cash</t>
  </si>
  <si>
    <t>Ngày 6-3-21</t>
  </si>
  <si>
    <t>Tín hiệu việc làm của Mỹ tăng hơn dự báo, mặc dù lãi suất trái phiếu tăng kỷ lục nhưng ttck Mỹ vẫn có 1 phiên tăng mạnh, cùng với sự đồng thuận trong dự báo của các ctck tt sẽ vượt 1200, cùng với thanh khoản trên thị trường được duy trì khá tốt lúc điều chỉnh, điểm trừ là khối ngoại vẫn liên tục bán ròng, tăng cả về giá trị vs khối lượng, quyết định lại join in vào trong tt, qua 1,2 đợt thì sẽ rút phần lớn tránh báo; vnd bán 6tr cổ phiếu quỹ, dự là sẽ lời thêm 40 tỷ, eps 3k giá 28, pe 9, tài khoản mở mới nhiều, top 4 thị phần môi giới, quyết định tập trung vào mỗi VND cho lần này</t>
  </si>
  <si>
    <t>- Ủy quyền đầu tư: 80M</t>
  </si>
  <si>
    <t>Đánh giá 2020</t>
  </si>
  <si>
    <t>1 cú quay đầu kinh điển khi lực mua mạnh, triển vọng vnd sẽ bay xa(đã dính chưởng vì vni quay đầu phiên chiều chung với ckca), đêm 5-3 ck mỹ tăng mạnh, all in vào 8-3 để đón sóng vni vượt 1200; 5/3 có khả năng đã bị dụ, 5-3 chuyển hướng 1k vnd vì ck c á hồi phục phiên sáng; 4-3 có 1 cú sụp nên tạm không vào lệnh dqc, mua thêm thì cộng dồn vào đây; lao theo mua khi vnd đang tăng mạnh may mà khớp 28,5 (đặt 28,8) trong vùng dự báo</t>
  </si>
  <si>
    <t>Ngày 9-3-21</t>
  </si>
  <si>
    <t xml:space="preserve">Thị trường mỹ đêm qua đã có sự phân hóa với sự tăng giảm đan xen, sáng nay ttck c á vẫn là 1 phiên đỏ lửa chủ đạo là shanghai (dự đang vào xu hướng giảm), vni bị ảnh hưởng và giảm mạnh hơn 1% ngay từ đầu phiên, có sự dao động về tâm lý và cảm thấy chưa đúng lắm khi giao dịch tt này, t3 về có thể lỗ, suy nghĩ canh chốt hay vẫn giữ lệnh chờ họp hdcđ và ra bctc quý 1? câu hỏi lớn thời điểm này </t>
  </si>
  <si>
    <t>Ngày 11-3-21</t>
  </si>
  <si>
    <t xml:space="preserve">Chứng khoán đã về tk sẵn sàng chốt, giá lại xanh và giữ để tìm điểm ra hợp lý, nếu hôm nay trần và mai tăng mạnh đầu phiên thì canh chốt luôn; chốt ngày tại 29,8; mai là cuối tuần chốt cây tăng giá đóng cửa trên 30 thì có thể nuôi lệnh chờ DHCD rồi tính tiếp </t>
  </si>
  <si>
    <t>Ngày 12-3-21</t>
  </si>
  <si>
    <t>Không tăng như dự báo dù hôm qua là ngày ghi nhận khối lượng giao dịch kỷ lục; đang phân vân nhưng sẽ cố gắng giữ đợi hết tuần sau họp ĐHCĐ, nếu tốt có thể giữ đợi tin BCTC quý 1 ra nữa; số lượng mua khủng ngày 11/3 thì thứ 3 16/3 sẽ về tới tk, có thể là để đón ĐHCĐ của VND chăng; giá giảm mạnh 0,4 về 29,4, bán thì dính bẫy mà không bán thì có thể giảm sâu hơn nữa ko!? vẫn đang phân vân, nhưng có thể ko đc để lỗ, mức giới hạn là 28,45</t>
  </si>
  <si>
    <t>Ngày 15-3-21</t>
  </si>
  <si>
    <t>lần này có chốt sai nữa thì đứng ngoài coi như đã dư tiền gởi tiết kiệm trong 1 năm với ls 3%,chốt 5k trong sáng 15-3 luôn vì Shanghai giảm và cảm nhận lực vào yếu có thể lao dốc bất kỳ lúc nào;15-3 chốt 4700 cho an tâm và giữ lại 5000 quyết tâm giữ vững đợi vni vượt 1200; vnd target 4x khi ra bctc quý 1 và khả năng trả cổ tức 2020 cao(ko còn như kỳ vọng khi tài liệu hopf DHCH 18/3 ghi chú là 5%, nhưng có thể kỳ vọng vụ PHT cổ tỷ lệ 1:1), tổng 9,7k thì có thể an tâm ở vùng giá 20 có thể nắm giữ dài hạn 2 đến 3 năm;VND chấp nhận lỗ &lt;=3tr khi t3 (lúc 2k); DQC 20 có hỗ trợ mạnh; target vùng 32,34</t>
  </si>
  <si>
    <t>DQC</t>
  </si>
  <si>
    <t>282,7M ứng trước T2 là 220k; Mở đầu phiên dòng chứng giảm, đã muốn thanh lý hết VND mà giá giảm mạnh về 29,1 nên dừng để theo dõi, quyết định giữ lại bán giá xanh hoặc kiên cường giữ lên 40 rồi bán; cuối cùng cũng quyết định bán hết giá TB là 29,248 có thể cuối phiên sẽ trần vì mình bán hết, nếu như vậy thì bỏ qua giai đoạn này để bình tâm lại giao dịch tốt hơn; DQC là mã theo dõi và giao dịch tiếp theo, chỉ giao dịch khoảng &lt;= 50% tài khoản để đảm bảo an toàn</t>
  </si>
  <si>
    <t>Ngày 16-3-21</t>
  </si>
  <si>
    <t xml:space="preserve">Sau khi mua thì vni giảm và ngay cả bản thân DQC cũng ko có lực cầu vào đủ mạnh để giữ đà tăng trần, lần đặt cược vào DQC đã ko thành công bước đầu; Có thể mua full đua giá DQC kỳ vọng giá sẽ break ra khỏi đỉnh và tiếp tục xác lập các vùng giá cao hơn tại cản 33; trước tiên phải vượt qua được cản 27,7 </t>
  </si>
  <si>
    <t>Tắt bảng điện, t3 mở lại để tránh hao phí thời gian, (ban đầu đã xác định là đầu cơ) lao theo như con thiêu thân vì lịch sử giá đã quá cao và đi đủ target của tháng, nhưng sợ mất cơ hội như lần trước, nhưng ko giống như lần trước, lần này nhà cái bắt làm thịt luôn, ko nuôi vỗ béo thời khắc nào, chờ T3 coi thử bị giết thịt bao nhiêu;khớp ATO còn dư bán hơn 60k, hy vọng đừng có giảm liền, có thể lần mua này đã sai vì lực mua không mạnh như kỳ vọng, chờ phiên chiều thử ntn;giá TC ngày 15-3 là 24,25; mua đc 25,9 cũng ok, nếu diễn biến giá ko tốt có thể nắm giữ 1 năm coi tình hình kinh doanh ntn rồi quyết tiếp, không nên mua bán nhiều mất phí và cơ hội, để thời gian tập trung làm việc kiếm tiền, sẽ được nhiều hơn</t>
  </si>
  <si>
    <t>Ngày 18-3-21</t>
  </si>
  <si>
    <t>% Result</t>
  </si>
  <si>
    <t>TCP TDH</t>
  </si>
  <si>
    <t>Chốt phiên giá 25,85 đã hồi về gần bằng thời điểm mua, nếu có lợi thế có thể kỳ vọng thêm;Vào hàng đầu cơ mà DQC ko chạy còn giật ngược trở lại, ko đạt được mục đích ban đầu nên mai về tìm cơ hội thoát ít đau thương nhất có thể; tìm cơ hội khác có thể nắm giữ lâu dài hoặc có thể đứng ngoài lo làm ăn kinh doanh kiếm tiền</t>
  </si>
  <si>
    <t>Ngày 19-3-21</t>
  </si>
  <si>
    <t>Sử dụng</t>
  </si>
  <si>
    <t>(-4500)</t>
  </si>
  <si>
    <t xml:space="preserve">Sử dụng </t>
  </si>
  <si>
    <t>Mua mã đầu cơ thì phải chấp nhận cắt lỗ khi giá về 22, và quyết giữ nếu tiếp tục đc đánh lên, chứ mà cắt lỗ nữa chừng thì sẽ lại hối hận nếu sau đó tăng điểm; CK TG diễn biến xấu làm ảnh hưởng VNI, DQC t3 về mua giá 25,9 nên hnay ko thấy lực mua vào, quyết định giữ bán giá xanh, đánh cược trong tuần sau hoặc may mắn thì chiều nay; rút kinh nghiệm khi vào giao dịch cổ phiếu đầu cơ với KLGD khớp lệnh bình quân thấp thì ko nên vào với khối lượng lớn, lúc muốn thoát ra cắt lỗ cũng khó</t>
  </si>
  <si>
    <t>Ngày 22-3-21</t>
  </si>
  <si>
    <t>Quyết định đồng hành cùng DQC tới khi nào có lời mới chốt, ko chốt giá đỏ và bị lỗ phí thuế; lỗ thì tích lũy thêm tiền mua vào khi giá về vùng 15,17k</t>
  </si>
  <si>
    <t>Ngày 23-3-21</t>
  </si>
  <si>
    <t>T+</t>
  </si>
  <si>
    <t>Nên tập trung làm việc, cho dù có theo dõi giá cũng ko làm đc gì, đã chấp nhận lỗ bao nhiêu cũng ko bán rồi thì tập trung kiếm thêm để trung bình giá; theo dõi thêm cột T+ để biết đầu tư theo trường phái nào; đã rất muốn chốt lỗ ở giá 24,45 nhưng thôi, đợi hết cây nến tuần xem sao. PHẢI GIỮ CHO CÓ LỜI</t>
  </si>
  <si>
    <t>Ngày 24-3-21</t>
  </si>
  <si>
    <t>Trung Quốc siết tín dụng làm cho ttck giảm liên tục, Mỹ và châu âu lo ngại làn sóng covid thứ 3 nên dịch vụ và du lịch giảm mạnh, TT Biden xem xét gói kích thích 3000 tỷ USD; chứng khoán VN lần thứ 3 test 1200 thất bại, tt bđs nóng sốt khắp nơi; Kinh nghiệm là đừng quá bi quan và hưng phấn quá theo tt, sẽ có 1 nhịp chỉnh lại cân bằng rồi mới tiếp tục xu hướng của nó; Thôi, quyết định giữ lại DQC lỡ bán mà có game gì thì lại hối hận nữa, vì KL của DQC có hơn 34tr, nếu muốn tăng thì bất chấp tt giảm vẫn sẽ tăng trần đc nhiều phiên; Giữ lại ngay trên đỉnh cao và chờ đợi, trung bình giá nếu đủ tiền</t>
  </si>
  <si>
    <t>Ngày 25-3-21</t>
  </si>
  <si>
    <t>Để tránh rủi ro khi ra vào lệnh, thì nên giữ nguyên, vì biểu đồ tháng và tuần vẫn đang còn đẹp, nhiều khi tháng này đã đi đủ chỉ tiêu, tháng sau mới đc cấp tiếp chỉ tiêu cho tăng giá</t>
  </si>
  <si>
    <t>Ngày 31-3-21</t>
  </si>
  <si>
    <t xml:space="preserve">Chốt tháng tại giá 24,25 với tín hiệu tháng tăng điểm, có thể kỳ vọng tháng tiếp theo là 1 cây nến tăng nếu lái tiếp tục mục tiêu đẩy giá lên, còn nếu lái quyết định chốt lời và vni ko ủng hộ xu hướng tăng với việc phá đỉnh 1200 thì rất khó để DQC có tương lai, có thể canh cắt lỗ hay nuôi lệnh luôn cũng không sao - đang nghiên về xu hướng nắm giữ và nếu được về tình hình sản xuất kinh doanh có thể tìm cách tăng tỷ lệ nắm giữ khi giá giảm mạnh về vùng dưới 20-, sai lầm nào cũng phải trả giá bằng tiền hoặc thời gian </t>
  </si>
  <si>
    <t>Ngày 5-4-21</t>
  </si>
  <si>
    <t>TT đã break 1200 khá xa mà DQC vẫn ko thể nào xanh được và dòng tiền ko thấy vào, nhưng cũng ko dám chốt vì sợ tiếp tục sai lầm, cố gắng giữ hết tháng này sau ĐHCĐ hoặc phải cắt lỗ sâu</t>
  </si>
  <si>
    <t>Ngày 9-4-21</t>
  </si>
  <si>
    <t>có dấu hiệu được mua vào và đẩy giá lên, hy vọng là cuối phiên trần hoặc chốt trên 25 là đẹp; đóng cửa tuần tại 25,1 khá tốt; hy vọng tuần sau sẽ break ra khỏi vùng đỉnh ngắn hạn 4 tuần trước đó</t>
  </si>
  <si>
    <t>Sách và cuộc sống: ghi nhận đầu sách, thời gian đọc xong, nhận xét sau khi đọc xong</t>
  </si>
  <si>
    <t>Sách</t>
  </si>
  <si>
    <t>Ngày mua</t>
  </si>
  <si>
    <t>Ngày đọc xong lần 1</t>
  </si>
  <si>
    <t>Nhận xét</t>
  </si>
  <si>
    <t>NXB</t>
  </si>
  <si>
    <t>Kim đồng</t>
  </si>
  <si>
    <t>Ngày 14-4-21</t>
  </si>
  <si>
    <t>Không nên coi giá nữa, lo tập trung làm việc kiếm tiền, để 1 là giảm có thể trung bình giá, 2 là ko phải dao động tâm lý tốn thời gian vô ích</t>
  </si>
  <si>
    <t>Ngày 15-4-21</t>
  </si>
  <si>
    <t xml:space="preserve">Càng giữ càng giảm, mà ko thể bán vì sợ sẽ tăng, nên sẽ giữ qua ĐHCĐ để xem có về bờ đc ko </t>
  </si>
  <si>
    <t>Ngày 26-4-21</t>
  </si>
  <si>
    <t>Quyết định cắt lỗ khi xác định giá DQC chỉ đâu đó tầm 10k, chốt tuần 26-3 tại 23,1k, lực bán mạnh khi ghi nhận 2 trường hợp dương tính covid; nhận thấy lực bán có vẻ ít nên lại quyết định theo dõi tiếp, có thể xem xét cắt 1/2 KL để hạn chế rủi ro, do Mỹ giảm vì covid, TQ vì cắt tín dụng, VN vẫn quản tốt covid, lãi suất huy động có thể tăng, nên ko cần phải cắt vội vì KLGD vẫn rất cao, nghĩa là dòng tiền bắt đáy vẫn đang tốt, để hết tuần xem sao, quyết định cắt lỗ theo nguyên tắc &lt;=10% để lần sau làm lại; giả định cắt lỗ gần 22 khi giá phá hẳn trend đầu cơ ở giá 22,7; phải để nền xanh!!! Ko giữ đc lập trường, ban đầu lướt sóng TÍM, sau lỗ lại muốn giữ luôn, thôi, theo lập trường nguyên tắc đầu tư là phải cắt lỗ</t>
  </si>
  <si>
    <t>Quyết định cắt lỗ sau khi có thông tin họp ĐHCĐ, kế hoạch LN 21 đạt 30 tỷ chia Cổ tức 7% =&gt; giá chỉ xứng đáng 10k, nên quyết tâm cắt lỗ 44tr, lần lỗ nặng nhất do không tuân thủ nguyên tắc lỗ 10% thì phải cắt =&gt; lần này nên đứng ngoài và tìm cổ phiếu tốt để đầu tư lâu dài, có thể xem xét tháng 7,8 bắt đầu giải ngân hoặc giá thật sự về vùng giá tốt</t>
  </si>
  <si>
    <t>Tên NH</t>
  </si>
  <si>
    <t>EPS</t>
  </si>
  <si>
    <t>PE</t>
  </si>
  <si>
    <t>GTSS</t>
  </si>
  <si>
    <t>KLCP</t>
  </si>
  <si>
    <t>2,798,756,872</t>
  </si>
  <si>
    <t>Giá 27-4-21</t>
  </si>
  <si>
    <t>VCB</t>
  </si>
  <si>
    <t>Cổ đông Khác (%)</t>
  </si>
  <si>
    <t>3,708,877,448</t>
  </si>
  <si>
    <t>BID</t>
  </si>
  <si>
    <t>STT</t>
  </si>
  <si>
    <t>+/-</t>
  </si>
  <si>
    <t>ROA</t>
  </si>
  <si>
    <t>ROE</t>
  </si>
  <si>
    <t>Giá SS</t>
  </si>
  <si>
    <t>P/B</t>
  </si>
  <si>
    <t>Beta</t>
  </si>
  <si>
    <t>Tổng KL</t>
  </si>
  <si>
    <t>NN SởHữu</t>
  </si>
  <si>
    <t>Vốn TT (Tỷ)</t>
  </si>
  <si>
    <t>98.9</t>
  </si>
  <si>
    <t>19.8</t>
  </si>
  <si>
    <t>26.7</t>
  </si>
  <si>
    <t>1.0</t>
  </si>
  <si>
    <t>799,506,100</t>
  </si>
  <si>
    <t>40.6</t>
  </si>
  <si>
    <t>22.2</t>
  </si>
  <si>
    <t>1.2</t>
  </si>
  <si>
    <t>4,022,018,040</t>
  </si>
  <si>
    <t>1,025,614,600</t>
  </si>
  <si>
    <t>39.6</t>
  </si>
  <si>
    <t>10.8</t>
  </si>
  <si>
    <t>22.9</t>
  </si>
  <si>
    <t>1.3</t>
  </si>
  <si>
    <t>3,723,404,556</t>
  </si>
  <si>
    <t>1,117,021,366</t>
  </si>
  <si>
    <t>TCB</t>
  </si>
  <si>
    <t>39.8</t>
  </si>
  <si>
    <t>11.1</t>
  </si>
  <si>
    <t>21.3</t>
  </si>
  <si>
    <t>3,500,139,962</t>
  </si>
  <si>
    <t>51.9</t>
  </si>
  <si>
    <t>12.5</t>
  </si>
  <si>
    <t>1.4</t>
  </si>
  <si>
    <t>2,456,748,366</t>
  </si>
  <si>
    <t>29.6</t>
  </si>
  <si>
    <t>9.9</t>
  </si>
  <si>
    <t>1.1</t>
  </si>
  <si>
    <t>2,798,756,253</t>
  </si>
  <si>
    <t>326,236,363</t>
  </si>
  <si>
    <t>ACB</t>
  </si>
  <si>
    <t>33.0</t>
  </si>
  <si>
    <t>9.4</t>
  </si>
  <si>
    <t>16.4</t>
  </si>
  <si>
    <t>2,161,558,460</t>
  </si>
  <si>
    <t>281,308,951</t>
  </si>
  <si>
    <t>VIB</t>
  </si>
  <si>
    <t>53.2</t>
  </si>
  <si>
    <t>12.9</t>
  </si>
  <si>
    <t>16.2</t>
  </si>
  <si>
    <t>1,109,387,852</t>
  </si>
  <si>
    <t>SHB</t>
  </si>
  <si>
    <t>26.8</t>
  </si>
  <si>
    <t>17.3</t>
  </si>
  <si>
    <t>1,755,336,940</t>
  </si>
  <si>
    <t>284,578,338</t>
  </si>
  <si>
    <t>26.5</t>
  </si>
  <si>
    <t>7.5</t>
  </si>
  <si>
    <t>1,593,770,130</t>
  </si>
  <si>
    <t>BVH</t>
  </si>
  <si>
    <t>56.9</t>
  </si>
  <si>
    <t>28.0</t>
  </si>
  <si>
    <t>742,322,764</t>
  </si>
  <si>
    <t>333,431,002</t>
  </si>
  <si>
    <t>22.7</t>
  </si>
  <si>
    <t>1,785,215,716</t>
  </si>
  <si>
    <t>565,564,714</t>
  </si>
  <si>
    <t>EIB</t>
  </si>
  <si>
    <t>25.5</t>
  </si>
  <si>
    <t>30.2</t>
  </si>
  <si>
    <t>13.6</t>
  </si>
  <si>
    <t>0.6</t>
  </si>
  <si>
    <t>1,235,522,904</t>
  </si>
  <si>
    <t>370,656,871</t>
  </si>
  <si>
    <t>TPB</t>
  </si>
  <si>
    <t>27.2</t>
  </si>
  <si>
    <t>1,031,655,666</t>
  </si>
  <si>
    <t>LPB</t>
  </si>
  <si>
    <t>20.7</t>
  </si>
  <si>
    <t>11.9</t>
  </si>
  <si>
    <t>1,074,638,915</t>
  </si>
  <si>
    <t>BAB</t>
  </si>
  <si>
    <t>26.6</t>
  </si>
  <si>
    <t>31.8</t>
  </si>
  <si>
    <t>0.4</t>
  </si>
  <si>
    <t>708,500,000</t>
  </si>
  <si>
    <t>ABB</t>
  </si>
  <si>
    <t>8.1</t>
  </si>
  <si>
    <t>15.6</t>
  </si>
  <si>
    <t>571,311,355</t>
  </si>
  <si>
    <t>NVB</t>
  </si>
  <si>
    <t>16.9</t>
  </si>
  <si>
    <t>0.7</t>
  </si>
  <si>
    <t>487,654,914</t>
  </si>
  <si>
    <t>90,306,465</t>
  </si>
  <si>
    <t>PVI</t>
  </si>
  <si>
    <t>32.2</t>
  </si>
  <si>
    <t>32.4</t>
  </si>
  <si>
    <t>225,414,167</t>
  </si>
  <si>
    <t>102,832,179</t>
  </si>
  <si>
    <t>NAB</t>
  </si>
  <si>
    <t>16.5</t>
  </si>
  <si>
    <t>17.0</t>
  </si>
  <si>
    <t>389,005,328</t>
  </si>
  <si>
    <t>VBB</t>
  </si>
  <si>
    <t>13.4</t>
  </si>
  <si>
    <t>17.5</t>
  </si>
  <si>
    <t>419,019,904</t>
  </si>
  <si>
    <t>VNR</t>
  </si>
  <si>
    <t>23.6</t>
  </si>
  <si>
    <t>131,075,937</t>
  </si>
  <si>
    <t>64,227,209</t>
  </si>
  <si>
    <t>BMI</t>
  </si>
  <si>
    <t>27.1</t>
  </si>
  <si>
    <t>13.2</t>
  </si>
  <si>
    <t>0.9</t>
  </si>
  <si>
    <t>91,354,037</t>
  </si>
  <si>
    <t>40,694,445</t>
  </si>
  <si>
    <t>PTI</t>
  </si>
  <si>
    <t>10.7</t>
  </si>
  <si>
    <t>25.0</t>
  </si>
  <si>
    <t>0.2</t>
  </si>
  <si>
    <t>80,395,709</t>
  </si>
  <si>
    <t>39,393,897</t>
  </si>
  <si>
    <t>BIC</t>
  </si>
  <si>
    <t>20.8</t>
  </si>
  <si>
    <t>8.5</t>
  </si>
  <si>
    <t>20.5</t>
  </si>
  <si>
    <t>117,276,895</t>
  </si>
  <si>
    <t>57,465,678</t>
  </si>
  <si>
    <t>MIG</t>
  </si>
  <si>
    <t>16.3</t>
  </si>
  <si>
    <t>0.8</t>
  </si>
  <si>
    <t>130,000,000</t>
  </si>
  <si>
    <t>PGI</t>
  </si>
  <si>
    <t>20.6</t>
  </si>
  <si>
    <t>10.1</t>
  </si>
  <si>
    <t>16.7</t>
  </si>
  <si>
    <t>0.1</t>
  </si>
  <si>
    <t>88,604,883</t>
  </si>
  <si>
    <t>34,777,366</t>
  </si>
  <si>
    <t>ABI</t>
  </si>
  <si>
    <t>43.5</t>
  </si>
  <si>
    <t>38,000,000</t>
  </si>
  <si>
    <t>17,326,900</t>
  </si>
  <si>
    <t>BLI</t>
  </si>
  <si>
    <t>19.6</t>
  </si>
  <si>
    <t>11.5</t>
  </si>
  <si>
    <t>60,000,000</t>
  </si>
  <si>
    <t>24,489,645</t>
  </si>
  <si>
    <t>Lưu lại thông tin về nhóm ngành Ngân hàng Bảo hiểm ngày 27-4-21 của trang Cophieu68.vn</t>
  </si>
  <si>
    <t>3,504,906,230</t>
  </si>
  <si>
    <t>1,608,848,818</t>
  </si>
  <si>
    <t>1,751,009,094</t>
  </si>
  <si>
    <t>1,885,215,716</t>
  </si>
  <si>
    <t>1,071,671,722</t>
  </si>
  <si>
    <t>456,446,843</t>
  </si>
  <si>
    <t>519,738,904</t>
  </si>
  <si>
    <t>410,155,587</t>
  </si>
  <si>
    <t>Ngày 28-4-21</t>
  </si>
  <si>
    <r>
      <rPr>
        <b/>
        <sz val="11"/>
        <color rgb="FFFF0000"/>
        <rFont val="Calibri"/>
        <family val="2"/>
        <scheme val="minor"/>
      </rPr>
      <t>!!! LƯU Ý CHỮ ĐỎ:</t>
    </r>
    <r>
      <rPr>
        <b/>
        <sz val="11"/>
        <color theme="1"/>
        <rFont val="Calibri"/>
        <family val="2"/>
        <scheme val="minor"/>
      </rPr>
      <t xml:space="preserve"> </t>
    </r>
    <r>
      <rPr>
        <sz val="11"/>
        <color theme="1"/>
        <rFont val="Calibri"/>
        <family val="2"/>
        <scheme val="minor"/>
      </rPr>
      <t xml:space="preserve">Lại muốn vào lệnh vì sợ lỡ cơ hội khi thấy MBB tăng giá và đọc bài về triển vọng ngân hàng với thông tư 03 áp dụng vào tháng 5/2021 </t>
    </r>
    <r>
      <rPr>
        <b/>
        <sz val="11"/>
        <color rgb="FFFF0000"/>
        <rFont val="Calibri"/>
        <family val="2"/>
        <scheme val="minor"/>
      </rPr>
      <t>=&gt; lần này coi như ko còn tiền và bắt đầu tích lũy tiền để tiếp tục đầu tư (mất hết và bắt đầu làm lại)</t>
    </r>
    <r>
      <rPr>
        <sz val="11"/>
        <color theme="1"/>
        <rFont val="Calibri"/>
        <family val="2"/>
        <scheme val="minor"/>
      </rPr>
      <t xml:space="preserve"> =&gt; Xây dựng danh mục cần quan tâm VGC, GEX</t>
    </r>
  </si>
  <si>
    <t>GEX</t>
  </si>
  <si>
    <t>Ngày 3-5-21</t>
  </si>
  <si>
    <t xml:space="preserve">Đúng như dự đoán 4 ngày nghỉ lễ đã xảy ra bùng dịch covid, và lại 1 lần nữa manh động vì khả năng rất cao TT mở cửa sẽ GIẢM mạnh, 25-4 chốt quyền, 18-6 họp ĐHCĐ GEX, còn hy vọng ra BCTC Quý 1 hợp nhất VGC sẽ khả quan để đợi tới ĐHCĐ hy vọng chia cổ tức tốt và kế hoạch phát hành thêm CP có lợi </t>
  </si>
  <si>
    <t>Ngày 4-5-21</t>
  </si>
  <si>
    <t>Chính thức bước vào con đường mang tên MARGIN (12%/năm cho SSI và 11,9% cho VPS)</t>
  </si>
  <si>
    <t>Ngày 6-5-21</t>
  </si>
  <si>
    <t xml:space="preserve">TK Thường: 675đ; TK Margin: 1488k; Mua GEX thêm 5900 với FULL MARGIN =&gt; bước đi liều lĩnh có tính toán; hy vọng không bị sụp hố; </t>
  </si>
  <si>
    <t>Ngày 6-5-21: FULL 158,71 TRIỆU MARGIN giá 26,9 CLOSE: 26,55; số dư: 1488; Mua ATO và đóng cửa giảm về 26,6, lý trí mách bảo là sẽ có 3 ngày nghỉ lễ với tình hình dịch bệnh ko biết sẽ ntn, không nên mua để qua lễ mua mà lại sợ khi game thâu tóm VGC, và GEX sẽ chạy; suy nghĩ như thế nhưng không thắng nổi lòng tham khi nghĩ về việc GEX sẽ tăng</t>
  </si>
  <si>
    <t>Ngày 7-5-21</t>
  </si>
  <si>
    <t xml:space="preserve">Tâm lý có tiền thì MUA cho bằng hết, không kiên nhẫn đợi mua đc giá tốt mà thường theo suy nghĩ chủ quan sợ mất cơ hội nên luôn MUA khi có tiền, cho dù là tiền VAY; Sau 1 phiên giao dịch giá GEX đã bị đạp về 26 từ mức 26,9 khi mua 5900 (đã lỗ thêm 0,9*5900 = 5,31 TRIỆU); QUYẾT giữ cho tới khi hòa vốn và có lời hoặc bị xử lý tài khoản, có thêm tiền thì nạp vào tiếp tục nâng tỷ trọng CP GEX, quyết tâm theo GEX 2 năm thử xem kết quả </t>
  </si>
  <si>
    <t>Ngày 10-5-21</t>
  </si>
  <si>
    <t xml:space="preserve">Ngày 8-5-21 GEX được nâng tỷ lệ MARGIN từ 40% lên 50% nên dư ra đc 69M để dành mua thêm; sử dụng margin dôi ra để lướt sóng mỗi lần 1000CP; </t>
  </si>
  <si>
    <t>Ngày 12-5-21</t>
  </si>
  <si>
    <t>Tổng lượng CP nắm giữ 16000, tính luôn số lượng phát hành thêm theo tỷ lệ 10:6 thì dự kiến phải nạp thêm 115,2M và tổng nắm giữ là 25600 CP; không nên lướt sóng kiếm tiền cho cty chứng khoán mà rủi ro lại cao</t>
  </si>
  <si>
    <t>Ngày 18-5-21</t>
  </si>
  <si>
    <t>Nạp vào thêm 11,1M và mua thêm được 2k GEX, mua trước 1k giá 25,15; tiếp tục mua và nắm giữ dài hạn, Mua 1k nữa giá 24,85; nắm giữ 2 đến 3 năm =&gt; có 1 điểm RỦI RO là dùng FULL MARGIN để nắm giữ dài hạn</t>
  </si>
  <si>
    <t>Ngày 19-5-21</t>
  </si>
  <si>
    <t>Lãi ngày: 57411; Phí ngày: 144; Cộng dồn lãi và phí chưa thu vào tổng nợ hàng ngày; Tình hình dịch ở Bắc Ninh có thể ảnh hưởng đến hoạt động của GEX hoặc VGC nên GEX đang bị bán tháo mạnh vùng 24, FULL MARGIN và ko còn gì để đu theo, bài học vỡ lòng khi đầu tư chứng khoán, khi nào tất tay thì đều không suôn sẻ; Trong khi thị trường có phiên tăng mạnh thì GEX lại có phiên giảm mạnh</t>
  </si>
  <si>
    <t>Ngày 20-5-21</t>
  </si>
  <si>
    <t xml:space="preserve">Lãi + Phí ngày: 57555; dự hôm nay an toàn(không giảm thêm và có cơ hội chốt xanh), GEX ở vùng giá này có thể mua tích lũy thêm đc </t>
  </si>
  <si>
    <t>Ngày 21-5-21</t>
  </si>
  <si>
    <t>Thứ sáu: Lãi + phí ngày: 74281 (74119+162)</t>
  </si>
  <si>
    <t>Ngày 22-5-21</t>
  </si>
  <si>
    <t>Ngày 24-5-21</t>
  </si>
  <si>
    <t>Không phát sinh lãi vì chắc đã tính vào sáng thứ 7 rồi</t>
  </si>
  <si>
    <t>Thứ 7: Lãi + Phí: 222843 (222357+486) - bằng 3 ngày thường (883044 + 2398)</t>
  </si>
  <si>
    <t>Ngày 25-5-21</t>
  </si>
  <si>
    <t>TIN TỐT RA: Thứ 3: Lãi + Phí 74281 (74119+162); Giá cao nhất trong ngày 26,85; Close 26,2 bằng ngày hôm trước, ngày ra tin Phát hành thêm CP tỷ lệ 10:6 giá 12k, chốt ngày 4-6; tăng đầu phiên sau đó giảm về tham chiếu cuối phiên; CEO Nguyễn Văn Tuấn đăng ký mua vào 30tr cổ phiếu GEX vào lúc 16h, bắt đầu mua từ 28-5 đến 25-6-21</t>
  </si>
  <si>
    <t>Ngày 26-5-21</t>
  </si>
  <si>
    <t>Tổng lãi: 1032+3 (74119+162)</t>
  </si>
  <si>
    <t>Ngày 28-5-21</t>
  </si>
  <si>
    <t>Muốn đổi tên thành tập đoàn, có thể niêm yết từng công ty con, tỷ lệ cổ tức 2020 9% bằng CP vào quý 3 hoặc 4 năm 2021 sau khi phát hành thêm (nghĩa là trước khi PHT là 14%); Dự chia cổ tức 2021 tối đa 10%; Sau khi có tin thì GEX đã ko tăng mà còn giảm nhẹ, đang phân vân chưa biết ntn</t>
  </si>
  <si>
    <t>Ngày 29-5-21</t>
  </si>
  <si>
    <r>
      <t xml:space="preserve">Chốt hết vì tình hình dịch bệnh và kỳ vọng giá sẽ ko tăng mạnh; Ví dụ vào lệnh ITA, giá vào là thời điểm mong muốn vào nhất 7,28 (sau đó giảm về 7,18 và tăng lên 7,59; cuối cùng đóng cửa tại 7,35), thời gian đáo hạn cho thử thách này là 30 ngày trùng với thời gian gởi tiết kiệm, so sánh thử bên nào nhận đc nhiều tiền hơn =&gt; </t>
    </r>
    <r>
      <rPr>
        <b/>
        <sz val="11"/>
        <color rgb="FFFF0000"/>
        <rFont val="Calibri"/>
        <family val="2"/>
        <scheme val="minor"/>
      </rPr>
      <t>Sau khi nghiên cứu sơ bộ thì quyết định vào GEX đầu tư dài hạn 2 đến 3 năm ko lướt lát, do có GAME thâu tóm thành công VGC 51%, và phát hành CP tỷ lệ 10:6 giá 12k, dự chia cổ tức bằng tiền hoặc cổ phiếu 11% nữa, có thể cuối quý 2 thực hiện</t>
    </r>
  </si>
  <si>
    <r>
      <t xml:space="preserve">Lãi+Phí: </t>
    </r>
    <r>
      <rPr>
        <b/>
        <sz val="11"/>
        <color theme="1"/>
        <rFont val="Calibri"/>
        <family val="2"/>
        <scheme val="minor"/>
      </rPr>
      <t>222,843(</t>
    </r>
    <r>
      <rPr>
        <sz val="11"/>
        <color theme="1"/>
        <rFont val="Calibri"/>
        <family val="2"/>
        <scheme val="minor"/>
      </rPr>
      <t>222,357+486). Có 1 tuần để ra quyết định là chốt hay giữ mua PHT GEX ngày 4-6-21, và cổ tức 9% bằng CP vào quý 3 or 4; Đang thiên về hướng sẽ chốt lệnh hết trước khi PHT vì: 1,thời gian chờ đợi mua và CP về lâu;2, khả năng vẫn ko tăng mạnh sau chia vì kế hoạch lợi nhuận và chia cổ tức 2021 chưa hấp dẫn (đang phân vân nhất vì chỗ này);3, lãi vay margin là áp lực lớn khi giữ lại CP; 4, tình hình dịch bệnh diễn biến phức tạp</t>
    </r>
  </si>
  <si>
    <t>Ngày 31-5-21</t>
  </si>
  <si>
    <t xml:space="preserve">Quyết tâm chốt hết GEX vào đêm qua nên đã thành công, chốt đc giá xanh; bình tĩnh từ từ làm lại, phải có trách nhiệm vì đang quản lý tổng MARGIN hơn nửa TỶ VND; cơ hội còn nhiều </t>
  </si>
  <si>
    <t>Ngày 1-6-21</t>
  </si>
  <si>
    <t>NỘP 258,480k Chuyển qua giao dịch phái sinh, đánh theo kỳ vọng thị trường giảm do nhiều bất lợi, Quyết định đú trend vào dòng chứng, BVS có giá trị sổ sách 26k, giá hiện tại 28,6 (Trần 31,4); EPS 3k; PE 9,3 =&gt; không nên là hôm nay và tuần này, rủi ro cao; cố tập ko đu đọt và sợ mất cơ hội, giá đang xanh nên thường mua sẽ bị hớ; quyết định đứng ngoài vì nửa tháng trước giá còn ở vùng 21,22 thì đâu đó đã tăng đc gần 50%</t>
  </si>
  <si>
    <t>Ngày 2-6-21</t>
  </si>
  <si>
    <t>Vào vị thế Bán 50% ký quỹ (~742M), lần đầu nên thăm dò tình hình, lời lỗ gì thì cũng coi như là bài học đầu tiên về thực hành phái sinh; giữ lại tới ngày đáo hạn 80%, chốt trước 20% để cảm nhận (VN30 1482,92); Đã đóng vì nghĩ sẽ tăng lên lại, khó có thể giữ lệnh, có lời đúng kỳ vọng nên chốt sớm, gì giá sẽ giật lên giật xuống quanh VN30, nên có thể lướt sóng tốt hơn</t>
  </si>
  <si>
    <t>VN30</t>
  </si>
  <si>
    <t xml:space="preserve">Phái sinh có cách tính khác, lời lỗ, chung quy lại là lỗ, lướt sóng không dễ ăn như tưởng tượng, quay đầu là bờ </t>
  </si>
  <si>
    <t>Ngày 7-6-21</t>
  </si>
  <si>
    <t>Thoát Phái sinh, 1 trò đánh bạc khác và tập trung vào việc mua của để dành; Tổng thiệt hại 12,379M; có xác nhận 1 cây D1 giảm; mai có thể canh vào lệnh sell khi thị trường bước vào giai đoạn điều chỉnh</t>
  </si>
  <si>
    <t>Ngày 8-6-21</t>
  </si>
  <si>
    <t>Lệnh đặt cược thua cuối cùng trên thị trường phái sinh, chốt lời hơn 9tr; đặt lệnh chờ chốt hơi sớm 1467,7 mà giá về tận 1400</t>
  </si>
  <si>
    <t>Ngày 9-6-21</t>
  </si>
  <si>
    <t>Sai lầm khi nghĩ rằng thị trường sẽ hồi phục và nhảy vào mua VND giá xanh, sau đó tt điều chỉnh liền về tham chiếu và chuyện gì đến cũng sẽ phải đến (chốt giá TÍM)</t>
  </si>
  <si>
    <t>Ngày 10-6-21</t>
  </si>
  <si>
    <t>Một trong 3 ngày quan trọng để chờ đợi giá VND ntn; ngày đầu tiên gần như thất bại khi chỉ số chung tiếp tục lao dốc, VND khớp kỷ lục hơn 13M, đóng cửa giá</t>
  </si>
  <si>
    <t>Ngày 10-6 chốt PHT 1:1 giá 14,5 (tham chiếu 36,1); KLGD kỷ lục 18M =&gt; rủi ro giảm giá</t>
  </si>
  <si>
    <t>Quyền mua giá TB</t>
  </si>
  <si>
    <t>Ngày 11-6-21</t>
  </si>
  <si>
    <t>Sau khi suy tính lại thì thấy việc đu theo phát hành thêm khi mà giá đang ở đỉnh ntn thật sự là 1 quyết định hơi ngu ngốc và liều lĩnh, vì giá đang ở đỉnh cao, thời gian chờ nhận CP khoảng 60-90 ngày thì thật sự ko biết tt đã diễn biến ntn;được cái dòng chứng và ngân hàng đang hot do yếu tố thị trường ủng hộ</t>
  </si>
  <si>
    <t>Ngày 12-6-21</t>
  </si>
  <si>
    <t>Ngày 15-6 chốt 4k còn lại giá 44,7 vì đã đạt được kỳ vọng, không nên tham hơn nữa, Ngày 14-6 ko chịu được nhiệt, chốt trước 4k để làm vốn, 4k để luôn hoặc khi nào về 40 mới chốt; GTSS VND 20,8</t>
  </si>
  <si>
    <t>Nếu liều và lỳ đòn có thể để thêm 2 tháng nữa đợi BCTC Quý 2 ra, nếu tốt như Quý 1 thì chắc chắn không có giá dưới 60k =&gt; chưa được 3 ngày đã chốt hết 8k có sẵn, còn mỗi hy vọng quyền mua ko thể bán, đúng là mình khó thể thắng nỗi cảm xúc khi theo dõi giá</t>
  </si>
  <si>
    <t>Ngày 15-6-21</t>
  </si>
  <si>
    <t xml:space="preserve">Chốt 4k còn lại đang có, còn 8k quyền mua chưa thể chốt, deal này tràn trề hy vọng có lời, cần thận trọng bảo vệ thành quả khó nhọc mới có đc tới thời điểm này </t>
  </si>
  <si>
    <t>Ngày 16-6-21</t>
  </si>
  <si>
    <t>VCI</t>
  </si>
  <si>
    <t>Cổ tức 1:1 về sau</t>
  </si>
  <si>
    <t>Lại hấp tấp mua giá cao khi sau mua giá giảm về 96,5k; Mua kỳ vọng game chia 1:1 vào ngày mai 17-6; dự báo sẽ có 2 phiên trần; giá sau chia lên lại 70 bán là đẹp</t>
  </si>
  <si>
    <t>Có margin để giao dịch mà lại ứng trước tiền bán 171M mất hơn 70k phí, đúng dại</t>
  </si>
  <si>
    <t>Ngày 19-6-21</t>
  </si>
  <si>
    <t>Chuẩn bị đợi hàng về rồi canh thời điểm chốt hết thoát ra đứng ngoài, vì nhận thấy tình hình kinh doanh toàn cầu và trong nước khó khăn</t>
  </si>
  <si>
    <t>Ngày 21-6-21</t>
  </si>
  <si>
    <t>Cổ phiếu mà về hết thì tính toán tối thiểu rút hết phần GỐC ra để bảo toàn vốn và đợi chờ cơ hội tới năm 2023; và có thể giải ngân những doanh nghiệp làm ăn tốt và có chia cổ tức bằng tiền hàng năm tốt hơn ngân hàng</t>
  </si>
  <si>
    <t>Nạp 75M vào, chờ cơ hội sell khi quay đầu giảm điểm sau 1 thời gian test kháng cự 1510</t>
  </si>
  <si>
    <t>ngày 21-6 chốt 500 để hạn chế rủi ro nếu thị trường có bất ngờ sụp; 22-6 chốt hết vì thấy càng ngày càng rủi ro, nếu tăng thì còn 1000 kia, lời ít cũng đủ, hy vọng là ko lỗ nhiều</t>
  </si>
  <si>
    <t>Ngày 22-6-21</t>
  </si>
  <si>
    <t>Chốt hết Cổ có trong tài khoản; đợi cổ về nữa xem xét chốt luôn</t>
  </si>
  <si>
    <t>Ngày 25-6-21</t>
  </si>
  <si>
    <t>BVS</t>
  </si>
  <si>
    <t>Rút phái sinh, gởi TK 1 tuần để dành nạp tiền mua VND, giờ không hành động gì hết, đợi CP về thôi</t>
  </si>
  <si>
    <t>Coi như đã vào lệnh đầu phiên, và nên đứng ngoài như kế hoạch trước đó, có thể vào 1k để cho vui, không nên máu quá đu theo dễ dính chưởng kích gà; Đã chính thức vào lệnh, chấp nhân rủi ro 20% ~ 40M; có vẻ đã mạo hiểm; chính thức dính chưởng kích gà đua lệnh của nhà cái, đây là lần thứ bao nhiêu bị dính thính rồi cũng ko nhớ nữa; có 2 phương án, 1 là t3 về cắt lỗ luôn, 2 là gồng tới 23-7 để xem BCTC quý 2 ntn; Chốt phiên 31,1; thực hành phương án 2; Ngày 1-7 tiếp tục là 1 ngày dòng CK thăng hoa, qua đó cũng đã về lại bờ và đang có lời; 2-7 xem xét chốt trước 2k, còn 5k để dành ra BCTC</t>
  </si>
  <si>
    <t xml:space="preserve">giá break out đỉnh cũ, định sẽ nuôi lệnh đợi BCTC quý 2 ra sẽ có sự đột phá, nhưng nghĩ lại lệnh này có dấu hiệu sai khi mua 2 phiên sau đều giảm đã xuất hiện tâm lý bi quan, nhưng khi T3 về lại thành ra lời, xuất hiện tâm lý tham khi kỳ vọng giá lên 38, Quyết định chốt lời hơn 11,5M cho chắc; còn VCI và VND bắt buộc nuôi lệnh nên nếu dòng chứng tiếp tục thăng hoa thì vẫn ko thiệt thòi </t>
  </si>
  <si>
    <t>Ngày 2-7-21</t>
  </si>
  <si>
    <t>Quyết định gởi TK 1 tuần tới ngày 2-7 chốt sổ để đăng ký MUA VND, thay vào đó lại vào lệnh MUA BVS và chốt trả lại đúng 2-7 ko bị lỗ mà còn có lời 11,5M, như vậy còn mong chờ gì hơn nữa, nên tập hài lòng với những thứ mình có (lỡ có tăng nữa thì cũng biết đủ là đủ- vẫn lời mà), tham quá hóa dại</t>
  </si>
  <si>
    <t>Ngày 5-7-21</t>
  </si>
  <si>
    <t xml:space="preserve">MWG chia cổ tức 10% TM, 50% CP trong tháng 7,8 giá đang là 156,8 =&gt; theo dõi coi thử có còn cơ hội ko; chốt phiên 166,5k; Chốt BVS ở giá 32,8k thấp hơn giá chốt 33,9k =&gt; có vẻ chốt đúng 1 phiên, đỡ buồn </t>
  </si>
  <si>
    <t>Ngày 6-7-21</t>
  </si>
  <si>
    <t xml:space="preserve">Thị trường giảm mạnh cuối phiên với cú rũ ngân hàng và chứng khoán sàn trong 45' cuối phiên =&gt; thật sự hoang mang và lo lắng </t>
  </si>
  <si>
    <t>Giao dịch để chống FOMO, ko sử dụng vốn vay, nếu có hồi thì tuần sau cũng có ít tiền; không thì chấp nhận về 20; lỗ tối đa 5M</t>
  </si>
  <si>
    <t>Ngày 12-7-21</t>
  </si>
  <si>
    <t>cuối cùng thì ngày phán xét cũng đến, Cổ phát hành thêm chưa kịp về tài khoản, từ mức kỳ vọng về sẽ chốt đc gần 400M, thì giờ chỉ cần không lỗ là điều may mắn rồi; đúng là quá nhanh, quá nguy hiểm, như lũ quét cuốn phăng tất cả mọi thứ; tt đang down mạnh SSI không cho vào lệnh margin</t>
  </si>
  <si>
    <t>Ngày 13-7-21</t>
  </si>
  <si>
    <t xml:space="preserve">SHS với game tăng vốn tỷ lệ 2:1 và cổ tức 5% dự trong năm 2021, rút kinh nghiệm VND, thời gian chờ CP về quá lâu ko thể nào tự chủ được, nên sẽ canh mua nắm giữ cho tới lúc chốt quyền thì thoát ra, và sau khi chia vào lại, tuy là có thất thoát 1 ít nhưng hoàn toàn chủ động trong thanh khoản; nhưng tất cả phải tạm thời gác lại cho 1 deal mới phát sinh là NKG: với lợi nhuận đột biến 6 tháng đã vượt 94% cả năm LNST, sắp chia thưởng &amp; cổ tức 20% bằng CP, </t>
  </si>
  <si>
    <t>Đêm ngày 13-7 ra tin KQKD Quý 2 với lợi nhuận tăng đột biến, tính ra 2 quý đã vượt 94% kế hoạch cả năm tương đương EPS 6,4k/CP, ngoài ra còn có tin sắp chia thưởng và cổ tức năm 2020 tổng 20% bằng CP; 2 yếu tố ủng hộ là vừa trải qua đợt giảm mạnh nên mai có mua CE thì giá cũng ko quá cao, 2 là SSI vừa mở cho lại MARGIN, margin của NKG là 0,5 thì cũng phần nào đánh giá được triển vọng của ngành và công ty; Ngày 14-7 ko mua đc thì 15-7 tiếp tục mua giá 35,7 nếu vẫn ko đc nữa thì ngừng</t>
  </si>
  <si>
    <t>Chốt để MUA NKG theo nhận định hôm qua</t>
  </si>
  <si>
    <t>Chấp nhận cắt lỗ vì đang xài margin mà tình hình covid đang rất xấu; 15-7 mua thêm 1k, vẫn chưa bằng ý định ban đầu là mua vào 5,5k; Giá đóng cửa ngày 14-7 là 32,1; mua hơi gấp ATO giá 33,3, ATC giá 32,1 =&gt; TB 32,7; đợi VCI về bán hết, có thể mua thêm NKG</t>
  </si>
  <si>
    <t>Ngày 19-7-21</t>
  </si>
  <si>
    <t xml:space="preserve">Cắt lỗ 3/4 ngàn NKG vì tình hình dịch diễn biến quá phức tạp và đang sử dụng margin; dự định ngày mai 20-7 cũng sẽ cắt luôn NKG và VCI về để đưa tài khoản về mức an toàn, vì vnd chưa thể bán đc </t>
  </si>
  <si>
    <t>Ngày 20-7-21</t>
  </si>
  <si>
    <t>Ngày 28-2-18 ĐKCC; 4-4-18 Hạn cuối Đặt Mua; 18-4-18 Phát hành; 16-5-18 Niêm yết</t>
  </si>
  <si>
    <t>Đã chính thức cắt hết những lệnh nhỏ, còn mỗi VND chưa về, tuy cắt bị lỗ nhưng cảm thấy nhẹ nhõm dù ko vui vẻ gì, hành trình đợi VND về đầy lo âu, tuy nhiên có 1 ít lời để phòng hờ nên cũng đỡ đc phần nào, hy vọng về bán vẫn trên 300M =&gt; chốt phiên thị trường tăng mạnh, VCI 50,5; NKG 32 =&gt; nghỉ là đúng rồi, đừng FOMO nữa nhé, sẽ bị vặt lông thôi, Mai VCI ra BCTC có thể tăng mạnh, SHS sẽ tăng tiếp, nhất quyết đứng ngoài, hoàn thành mục tiêu cho năm nay nếu thoát VND giá trên 40, vậy là cũng ok lắm rồi Trung ơi</t>
  </si>
  <si>
    <t>SHS</t>
  </si>
  <si>
    <t>Ngày 21-7-21</t>
  </si>
  <si>
    <t xml:space="preserve">SHS với nhận định ngày 13-7-21; tình huống tương tự như VND trước đó, mới ra BCTC quý 2 lời khả quan, chia cổ tức và PHT cbi ra </t>
  </si>
  <si>
    <t>Lãi suất TK 275M từ tháng 2/2021 6%/năm</t>
  </si>
  <si>
    <t xml:space="preserve">Mua vào 1 ít ko sử dụng Margin để tránh rủi ro </t>
  </si>
  <si>
    <t>Chốt T3 khi CP về, đang lo phải cắt lỗ, tuy là biểu đồ hấp dẫn nhưng tình hình dịch bệnh khó lường nên đứng ngoài cho an toàn</t>
  </si>
  <si>
    <t>Ngày 30-7-21</t>
  </si>
  <si>
    <t>28-7 ra tin VPB chia 80% cổ phiếu thực hiện trong quý 3,4; giá chốt phiên 57,7; tìm cơ hội phân tích vào nắm giữ (trước chia và sau chia); PHẢI đợi VND về mới triển khai đc kế hoạch, chứ giờ vào margin cũng quá rủi ro, nhất là khi NẾN tháng cho tín hiệu cực xấu, cả chỉ số VNI và từng cổ riêng lẻ</t>
  </si>
  <si>
    <t>Ngày 8-8-21</t>
  </si>
  <si>
    <t xml:space="preserve">Đợi 12-8 này có thể giao dịch đc VND ko, có thể gởi tiết kiệm đa phần gốc, chỉ giữ lại phần lợi nhuận tiếp tục đầu tư, khi nào giá về vùng thật sự hấp dẫn thì mới chia ra giải ngân từ từ </t>
  </si>
  <si>
    <t>Margin 53,831M; kỳ vọng vào game PHT, chia cổ tức và dòng chứng đang hot</t>
  </si>
  <si>
    <r>
      <t xml:space="preserve">Ngày 10-6-21 Bán 1:1; 6-7-21 Hạn cuối; 15-7 nghị quyết thông qua PHT; 21-7 Phát hành;3-8 Chấp thuận niêm yết HNX; </t>
    </r>
    <r>
      <rPr>
        <b/>
        <sz val="11"/>
        <color rgb="FF7030A0"/>
        <rFont val="Calibri"/>
        <family val="2"/>
        <scheme val="minor"/>
      </rPr>
      <t xml:space="preserve">Dự 12-8 chuyển giao CP; </t>
    </r>
    <r>
      <rPr>
        <b/>
        <sz val="11"/>
        <color rgb="FF00B050"/>
        <rFont val="Calibri"/>
        <family val="2"/>
        <scheme val="minor"/>
      </rPr>
      <t>Chốt 17-8 Ngày đầu giao dịch CP PHT</t>
    </r>
  </si>
  <si>
    <t>Chốt quá sớm vì ngày 13-8 chốt phiên SHS giá 49,5k; Kế hoạch: 38 Mua 1k; 32 Mua 1k =&gt; TB: 38; canh về có lời và tình hình biểu đồ có thể chốt sớm hoặc để nuôi luôn đợi tin PHT và trả cổ tức; Ngày 10-8 máu nghĩ SHS sẽ chạy luôn nên vào thêm 1k giá 45,1; =&gt; chốt trước 1k =&gt; 13-8 chốt hết và đợi mua sau chốt quyền</t>
  </si>
  <si>
    <t>Ngày 14-8-21</t>
  </si>
  <si>
    <t>Suy nghĩ về tín hiệu tháng, đã tạo đỉnh với cây nến đảo chiều rõ ràng, tuy nguồn tiền dồi dào nhưng ko thể bỏ qua 1 tín hiệu rõ ràng như vậy, quyết định đứng ngoài (có thể vào phần dôi ra so với kế hoạch 2021 HOẶC có thể xem xét cơ hội SHS khi chốt quyền tính lại giá, hợp lý có thể vào theo tỷ lệ tuyệt đối ko sử dụng đòn bẩy tài chính) cho tới khi kết thúc cây nến tháng, sau đó tùy vào tình hình thực tế mà quyết tiếp</t>
  </si>
  <si>
    <t>Ngày 16-8-21</t>
  </si>
  <si>
    <t>Do thị trường tăng mạnh trước khi quyền về nên đó là 1 lợi thế quá lớn, suy nghĩ giữ để đợi tăng tiếp hay chốt luôn, thì quyết định sẽ là mai chốt luôn giá từ 52 đến 54, vì cây nến tháng tăng mạnh nhất là 13 giá, hiện đã tăng được 7 giá, và vượt xa kỳ vọng lúc mua PHT</t>
  </si>
  <si>
    <t>Giá chốt SHS dự kiến</t>
  </si>
  <si>
    <t>Bán bất chấp giá đỏ, có thể chốt xanh, nên hài lòng với món quà được nhận, nghỉ ngơi thôi Trung ơi</t>
  </si>
  <si>
    <t>Ngày 17-8-21</t>
  </si>
  <si>
    <t>Chốt xong sau 50 ngày nắm giữ (kỷ lục về thời gian nắm giữ vì cổ chưa về do PHT), tạm thời nghỉ ngơi tới tháng 9 nhé</t>
  </si>
  <si>
    <t>dự đoán đúng nhưng chưa thực hiện đầy đủ, đợi T3 sẽ đầy đủ hơn; tạm thời thoát ra để bình ổn tâm lý và do dự báo thị trường tạm thời không rõ xu hướng (sideway), nếu tăng thì có tể canh short, còn nếu giảm mạnh nữa thì có thể Long kỳ vọng 10 giá từ 5 đến 8 lots</t>
  </si>
  <si>
    <t>Chuyển đổi qua vcbs để giảm phí giao dịch (Phí + Thuế: SSI-1912; VCBS-1300</t>
  </si>
  <si>
    <t>Ngày 30-8-21</t>
  </si>
  <si>
    <t>Quyết định vào VPB để tham gia game chia 80% cổ phiếu, có thể full margin và thoát nhanh trước chốt 1 phần, lăn chốt 1 phần =&gt; bắt đầu giao dịch bên VCBS, giảm đc 1/3 phí phải đóng (giảm 200k/100M)</t>
  </si>
  <si>
    <t>Ngày 3-9-21</t>
  </si>
  <si>
    <t>Canh VPB bứt phá cản trên 62 thì vào lệnh, thêm 7 đến 8k và chốt trước khi hưởng quyền, còn 10k có thể lăn chốt và thoát ra khi sau ngày ko hưởng quyền tăng mạnh</t>
  </si>
  <si>
    <t>Ngày 7-9-21</t>
  </si>
  <si>
    <t>Đã bị thị trường và VPB dọa 1 phen, sau khi tăng từ 61,1 lên 63,5 thì liền hôm sau giảm về 62; thấy vpb giảm giá thì đã có sự lo lắng không hề nhẹ khi Margin là 505M, lớn nhất từ trước tới nay cả về giá trị và độ tập trung (chỉ 1 CP VPB)</t>
  </si>
  <si>
    <t>Ngày 8-9-21</t>
  </si>
  <si>
    <t>TT và VPB đã có 1 phiên tăng giá lấy lại phiên giảm hôm qua, VPB chốt phiên 63,4; mục tiêu tiếp tục được duy trì, ít nhất 72 đến 75 mới chốt, và giữ 10k lăn chốt, sau đó có thể tận dụng chốt 10k vào ngày giao dịch không hưởng quyền (hy vọng gần trần hoặc trần); áp lực lãi margin tương đối cao ~ 160k/ngày ~ 5M/tháng</t>
  </si>
  <si>
    <t xml:space="preserve">kỳ vọng giá 7x trước chia, kỳ vọng giá 4x sau chia; chấp nhận rủi ro: giá 55 &lt;=&gt; 120M; chốt trước 7k khi giá 72 tới 75; sau đó giữ 10k lăn chốt và có thể chốt 10k vào ngày không hưởng quyền khi giá tăng trần </t>
  </si>
  <si>
    <t>Ngày 10-9-21</t>
  </si>
  <si>
    <t>Ngày 9-9 giá đóng cửa 63,4; ngày 10-9 giá đóng cửa 64,6; có gần 4% làm vốn; thay đ chiến lược: chốt 2k khi đạt được target 72-75; còn lại nếu giá giữ trên vùng đó có thể lăn chốt, kỳ vọng chốt 15k có sẵn ở giá gần 40k, còn 12k có thể mạo hiểm giữ để đợi KQKD quý 3(lợi nhuận đột biến do ghi nhận khoảng tiền bán FEC, và là NH đầu tiên của VN áp dụng công nghệ Blockchain trong thanh toán LC) =&gt; sơ bộ chiến lược là vậy,bắt đầu theo dõi lịch sử và tính toán lại thời gian hành động cho phù hợp</t>
  </si>
  <si>
    <t>+ Vốn: 240M</t>
  </si>
  <si>
    <t>Ngày 13-9-21</t>
  </si>
  <si>
    <t xml:space="preserve">Đã manh động khi nhìn giá và chốt 64,9; vì sợ chiều nay sẽ sụp hố giống những lần trước vì TT đang đi rất mong manh và toàn danh mục theo dõi đang giảm chỉ mỗi VPB là xanh; dù gì có lời ít vẫn tốt hơn là nếu thị trường bị bán tháo mạnh mẽ </t>
  </si>
  <si>
    <t>Ngày 14-9-21</t>
  </si>
  <si>
    <t>Ngày 15-9-21</t>
  </si>
  <si>
    <t xml:space="preserve">Thêm 1 ngày giảm tương đối, và đã bắt đầu mua bảo toàn khối lượng (5k giá 64,2); nếu muốn an toàn thì chỉ giữ 5k này ko mua thêm!!! Nhưng chắc sẽ theo vì lý do ban đầu chưa có gì thay đổi =&gt; có thể mua thêm 5k khi giá về 63,2 </t>
  </si>
  <si>
    <t xml:space="preserve">thực tế là đã về 63,1 và mua tại 64 với 12k, tính toán thì tối ưu mà thực thi chưa tốt lắm; đóng cửa ko quá tệ tại tham chiếu 63,9; giữ nguyên khối lượng ban đầu vì lý do tham gia chưa mất đi; giảm được 1 ngày lãi margin và giảm Margin từ 505M xuống 496,5M =&gt; sau khi lướt 17k lời 8,5M (có khả năng lời hơn 1 giá 17M mà để vuột qua mất, tuy nhiên nếu mai mà tăng mạnh thì ko có gì phải nuối tiếc); Ngày 16-9 giá bật lên 65 nhờ công của ATC </t>
  </si>
  <si>
    <t>Ngày 18-9-21</t>
  </si>
  <si>
    <t>Theo dõi PHT Cổ phiếu: Xong game VND với LN 212,5M (Ngày 9-6 Mua; 15-6 chốt 8k; 17-8-21 chốt 8k)</t>
  </si>
  <si>
    <t>.</t>
  </si>
  <si>
    <t>Giá đóng cửa 67, giờ hỗ trợ cứng tại 65 ko lo lỗ nữa, giờ tính phương án chốt hiệu quả nhất; Tiếp tục bài toán lăn chốt ko? Bao nhiêu?</t>
  </si>
  <si>
    <t>Chốt hết do tình hình của TG phức tạp (Cty BĐS lớn thứ 2 TQ nguy cơ vỡ nợ=&gt; chứng thế giới giảm mạnh, thứ tư Fed của Mỹ họp nếu giảm QE thì toi =&gt; hành động trước 1 bước, nếu ko lời nhiều cũng giữ đc sự an toàn) ;15-9: về test lại 63 2 lần và đóng cửa ở 63,9; 1 ngày lãi vay 496,5M là ~160k bắt đầu từ ngày 17-9-21 (ngày ck về tài khoản, trước 1 ngày được giao dịch)</t>
  </si>
  <si>
    <t>Ngày 21-9-21</t>
  </si>
  <si>
    <t xml:space="preserve">Tạm thời thoát ra tới thứ 5 có kết quả Fed họp và vụ Evergrande sáng tỏ hơn thì mới nên cân nhắc vào lệnh lại, nếu mà giảm mạnh nữa thì có thể canh nhập VPB với vốn tự có, ko xài margin để tiếp tục theo game tăng vốn </t>
  </si>
  <si>
    <t>Chốt lỗ thoát ra ngoài sai lầm penny và ko có sự phân tích khi vào lệnh; Sau 2 phiên thì số lỗ đã 16%, thật tai hại khi chỉ 1 số lượng nhỏ lại mang về kết quả sai lầm; thấy sóng penny nên cũng FOMO và suy nghĩ 2 phương án: 100k ITA và 17k VPB theo game chia 10:8 =&gt; và quyết định vẫn theo game VPB nhưng vào thêm 5k ITA để khỏi tiếc và kết quả đắng lòng, chỉ 5k mà sau 2 phiên đã giảm quá mạnh =&gt; phương án 100k ITA hiện tại là rất tệ</t>
  </si>
  <si>
    <t>cắt lỗ do thế giới giảm mạnh và GDP âm, lo sợ chiều sẽ giảm mạnh nên dứt khoát thoát ra, có vẻ như lực cầuVPB bắt đầu mạnh; dự kiến sẽ chốt lệnh vào thứ 5 hoặc thứ 6, quyết định không lăn chốt do lo ngại tình hình bất ổn, giữ lâu sẽ nguy hiểm mà ko thể can thiệp được</t>
  </si>
  <si>
    <t>Ngày 29-9-21</t>
  </si>
  <si>
    <t>Đã quyết định cắt lỗ do 2 lệnh FOMO và đang theo chiều hướng đứng ngoài quan sát,quyết định dừng game VPB vì thấy vùng này nguy hiểm khi cảm nhận đang bị kéo xả liên tục và lịch sử chia cổ phiếu của ctg và mbb ko tốt như kỳ vọng, cuối cùng thì số lượng cổ phiếu phát hành quá lớn cũng là 1 trở ngại =&gt; cho dù có tăng thì cũng ko nên hối tiếc nhiều khi quyết định cắt lỗ lệnh cuối, vì tổng game vẫn lời 70M; chỉ sử dụng tiền tươi thóc thật ko sử dụng Margin &lt;=&gt; 470M, và có thể mở thêm phái sinh bên vcbs để tiện bề giao dịch</t>
  </si>
  <si>
    <t>Theo dõi game Thưởng + cổ tức CP Ngân hàng VPB (30-8 Mua); Ngày 29-9-21 Thoát game Profit 70M</t>
  </si>
  <si>
    <t>Ngày 30-9-21</t>
  </si>
  <si>
    <t>VPB tăng lên 66,5 rồi giảm về 65,4 và chốt phiên ở 65,9</t>
  </si>
  <si>
    <t xml:space="preserve">Ngày GDKHQ 11-10-21: tỷ lệ 2:1 giá 14k/CP; Giá 30-9-21: 52k; dự chốt giá </t>
  </si>
  <si>
    <t>Giá chốt</t>
  </si>
  <si>
    <t>Ngày 11-8 ra tin giá 45,8 (Cổ tức: Tiền 1,2k, CP:5%; PHT 2:1 giá 13,5k); Ngày 23-8 GDKHQ giá 39,8 (36,2 tăng 10%)</t>
  </si>
  <si>
    <t>Ngày 1-10-21</t>
  </si>
  <si>
    <t>VPB giảm mạnh về 63,9 khi thị trường TG và trong nước đỏ lửa, tối chứng khoán Mỹ tăng trở lại vì tin thuốc trị covid =&gt; tạm thời cắt lỗ chính xác, nên tiếp tục đứng ngoài quan sát và rút bớt margin, định hình lại khối lượng và kỳ vọng vì tài khoản đã khác trước</t>
  </si>
  <si>
    <t>Theo dõi game PHT của HCM (sau khi so sánh thì có vẻ SHS chỉ số và kỳ vọng tốt hơn)</t>
  </si>
  <si>
    <t>Ngày 3-10-21</t>
  </si>
  <si>
    <t>Xem xét vào lệnh SHS để tận dụng báo cáo KQKD tốt của dòng chứng trong quý 3 và sự sụt giá sau khi chốt chia từ 39,8 (36,2) trong đó 33,2 là vùng trước khi đánh tin PHT; Thứ 2 3-10-21 tạm đứng ngoài quan sát SHS và thị trường thêm 1 vài phiên nữa, nếu có bỏ lỡ cơ hội thì thôi nên chọn đợi sẵn sàng nắm bắt cơ hội bên phái sinh</t>
  </si>
  <si>
    <t>VDS</t>
  </si>
  <si>
    <t>vào lại sau chia, tiếp tục game VPB vì thị trường tăng trở lại mà cần sự thân thuộc và an toàn, vì kỳ vọng ghi nhận tiền bán FE và lợi nhuận quý 3 vẫn còn tốt, có giảm thì cũng ko quá nhiều vì giá đã điều chỉnh từ 66 về giá 63 mà ko phải bị giam 40% cổ như NĐT lăn chốt - quá lợi thế -</t>
  </si>
  <si>
    <t>Ngày 7-10-21</t>
  </si>
  <si>
    <t>Sau 2 phiên tăng thì đã vào lệnh vì VPB, và thế giới đang tốt trở lại, nên tận dụng cơ hội BCTC Quý 3 sẽ tập trung thêm 1 mã là GEX với kỳ vọng giá trên 30k, có thể mua vùng 25 dưới 26</t>
  </si>
  <si>
    <t>Chốt 453,168M (Tổng margin dự kiến có GEX 461M)</t>
  </si>
  <si>
    <t xml:space="preserve">chốt T3 giá close 32,95(may); T3 về ko lỗ thì canh chốt để giảm tỷ lệ CP vì GEX vào diễn biến ko như kỳ vọng; vào nhỏ kỳ vọng lấy lại chi phí giao dịch và lãi, vì dự BCTC Quý ra tốt do danh mục tự doanh dự kiến lời gần 100 tỷ </t>
  </si>
  <si>
    <t>Ngày 12-10-21</t>
  </si>
  <si>
    <t>Xem xét đứng ngoài và chỉ canh Short khi tín hiệu thật sự chín mùi; cơ sở có thể vượt đỉnh nhưng nên thật sự tĩnh táo và đề phòng;</t>
  </si>
  <si>
    <t xml:space="preserve">T3 về cắt lỗ luôn vì không an tâm và đã thất bại trong việc vào lệnh, nên chấp nhận sai và dứt khoát thoát; tuy nhiên cây nến tuần vẫn là cây nến hy vọng, có thể ko phải cắt lỗ lệnh này mà sẽ có điểm thoát hoặc giữ để đạt kỳ vọng vùng 31k, đóng cửa tuần 8-10 tại 24k, lỗ 0,45 vì Vào lệnh hơi gấp, thể hiện sự yếu kém vì không hiểu mã ck mình giao dịch -chủ yếu vì sợ mất cơ hội khi giá tăng, giao dịch mà cứ tự nghĩ và suy diễn thì ko đc- vì GEX sẽ ko tăng liền mà sẽ dập diều khó chịu; chấp nhận vào giá cao hơn mong muốn 23,5; vì lúc này tín hiệu tuần đã rõ ràng hơn, tình hình thế giới cũng bớt căng thẳng hơn cho BCTC Quý 3 này </t>
  </si>
  <si>
    <t>Ngày 13-10-21</t>
  </si>
  <si>
    <t>Bất an với thị trường khi vni tiếp cận vùng cản trên, đợi tín hiệu đảo chiều rõ ràng có thể vào vị thế SHORT</t>
  </si>
  <si>
    <t>Sai T3</t>
  </si>
  <si>
    <t>Ngày 14-10-21</t>
  </si>
  <si>
    <t xml:space="preserve">vào sai 2 lệnh gex và hcm nên chủ động sl liền vì đã có lệnh vpb hỗ trợ, rõ ràng chỉ nên tập trung vào 1 đến 2 mã có sự theo sát và hiểu rõ về mã đó thì tốt hơn, lâu lâu chọt vào 1 mã ít theo dõi gần đây dù đã từng giao dịch; đã full cash và hạ tỷ trọng margin và đã thanh toán đc khoản nợ 3 năm trước, may mắn vì đã tận dụng được năm 2021 với lợi nhuận vượt kế hoạch và mong đợi, nên có 1 khoảng lặng để giữ tiền </t>
  </si>
  <si>
    <t>Ngày 16-10-21</t>
  </si>
  <si>
    <t xml:space="preserve">chốt sổ 493,956,967; giá bitcoin đã vượt đỉnh chạm mốc 63k USD/coin; lúc này mới đang bắt đầu quá trình tìm hiểu về blockchain, hash(băm), coin, ví(wallet), ledger(sổ cái), genesis(nguồn gốc khối ban đầu) và tìm hiểu trâu cày, hay mua coin sẽ hiệu quả hơn, đồng coin nào có khả năng tăng giá trong tương lai =&gt; tiếp tục tìm hiểu và sớm quyết định, xem xét cấp vốn ban đầu 200M </t>
  </si>
  <si>
    <t>Ngày 19-10-21</t>
  </si>
  <si>
    <t xml:space="preserve">Xác định vào Short mà chọn tín hiệu hơi sớm 1512(cản đầu tiên, cản thứ 2 là 1515, cản 3 là 1520), đáng khen là hôm nay đã ko vào lệnh ngay khi thấy giá tăng ở 1508, xác định rõ ràng ở vùng cắt lỗ nên đã ko manh động mà cắt (chấp nhận SL trên vùng 1560) =&gt; chốt phiên ở 1510.5, tạm ổn nhưng còn 2 phiên nữa là tới chốt phái sinh, lại ko biết nên giữ hay sẽ chốt lời sớm ở 1500 =&gt; có chiều hướng sẽ giữ </t>
  </si>
  <si>
    <t>Ngày 24-10-21</t>
  </si>
  <si>
    <t>Nhận định thị trường sau 1 khoảng thời gian dài tăng trưởng và những khó khăn hiện tại khi dịch đã tạm lắng, chỉ cần 1 mồi lửa nhỏ sẽ kích hoạt làn sóng rút ròng ra khỏi thị trường để tập trung lo cho việc sản xuất kinh doanh, theo nến khi tạo đỉnh năm 2018 thì khoảng 4 tháng say cũng sẽ lình xình và tháng 11-21 sẽ trùng với đợt giảm của năm 2018, do đó nhận định tt sẽ vào giai  đoạn GẤU nên tạm thời thoát hẳn TTCS để tập trung TTPS và đã có vị thế tốt ở vùng giá vừa break hỗ trợ tại 1496-1498; Kịch bản an toàn cắt lỗ tại 1505 (sẽ ko bị lỗ lần vào lệnh này nhưng rủi ro là bị quét SL mới giảm), SL đúng KT tại 1521 (lúc đó lỗ hơn 16M) =&gt; hy vọng là giá ko vượt qua được kháng cự cứng tại mốc tâm lý 1500</t>
  </si>
  <si>
    <t>27-10 theo dõi lệnh ko tốt, để lời thành lỗ nặng, rút ra vào lại cơ sở khi giá break cản trên, hướng đến 1500; Giá đã phá cản dưới sideway ngay trước ngày đáo hạn nhưng đã nhanh chóng lấy lại đà giảm và đóng cửa tại 1505, dính 9 lót bán tại 1495 và đã cắt lỗ khi thấy khả năng phá cản giả tại 1497, và sau đó vào lệnh 5 lots tại giá đóng cửa 2111 là 1504,6, chiến lược là sẽ bán tiếp 5 lots khi giá tiếp tục phá 1497 và cắt lỗ khi giá phá đỉnh vượt lên trên vùng 1530(kịch bản 1 -bán tiếp ngay kháng cự 1515- SL 1530 lỗ 20M; KB2 ko short tại kháng cự - SL 1530 lỗ 12,5M;KB3 short 5 lots 1515- SL 1580 lỗ 70M; KB4 ko short tại kháng cự 1515- SL 1580 lỗ 62,5M); Mua 5 slot trước 2 ngày chốt PS, 4 slot cho tháng tiếp theo, trong ngày mua hơi sớm nhưng chốt phiên có lời nhẹ, tuy nhiên chưa có lợi thế rõ ràng, nếu 19-10 giảm thủng 1500 thì có thể sẽ nuôi 1/2 lệnh chốt ngày 21 còn lại có thể nắm giữ tới trước phiên ATC chốt hết (sẽ đỡ rủi ro)</t>
  </si>
  <si>
    <t>Ngày 29-10-21</t>
  </si>
  <si>
    <t>Chốt tuần, chốt tháng với mức tăng ấn tượng cho GEX, chắc để đón chào BCTC Quý 3 sẽ ra vào đầu tuần tới, cùng với việc VGC có BCTC tốt trong sáng nay, vượt kế hoạch LN cả năm, cảm thấy hài lòng với sự chuyển hướng từ lệnh lỗ PS ~40M sau 2 ngày sang lời Cơ sở hơn 60M sau 2 ngày =&gt; tuần sau lại tiếp tục phân tích điểm ra phù hợp tránh bán lúa non vì còn đợi tin 9% và 3 nhà máy điện đi vào hoạt động</t>
  </si>
  <si>
    <t>Ngày 1-11-21</t>
  </si>
  <si>
    <t>Target mục tiêu là 31,32 nhưng lên tới 28,3 thì cảm giác đã hài lòng nhưng vẫn còn đợi chinh phục mốc 3x vì sợ chốt non, giữ lệnh và chốt khi giá phá vùng 27,8; Nếu thoát lệnh này nên đợi tín hiệu xác nhận đảo chiều mạnh lại vào SHORT vn30, tín hiệu chắc ăn nhất là khi giá phá vùng hỗ trợ tâm lý 1500</t>
  </si>
  <si>
    <t>Ngày 2-11-21</t>
  </si>
  <si>
    <t>Đã thoát tất cả vị thế, đợi lúa về và theo dõi động thái của Fed vào ngày 4-11 từ đó đưa ra chiến lược mới, tìm điểm vào SHORT hoặc đứng ngoài chờ cơ hội mới ko nên FOMO mà mua thêm lúc đang trên đỉnh thế này,</t>
  </si>
  <si>
    <t xml:space="preserve">Ngày 3-11 giá lên cao nhất 30,05 sau đó giảm 38,5 và đóng cửa ở 28,9; Ngày 2-11 đã ko giữ đc cái đầu lạnh, chốt ko theo kế hoạch khi theo dõi giá vì sợ như trường hợp phái sinh trước đó và để mất 1 giá khi chốt phiên ở 29,55 =&gt; tạm hài lòng với lợi nhuận có được và chuẩn bị cơ hội khi chính sách tiền tệ trên thế giới hạn chế bơm tiền và tình hình lạm phát gia tăng; chuyển full Margin từ Phái sinh khi tt phá đỉnh, và mong chờ GEX với thông tin BCTC Quý 3 có ghi nhận VGC là công ty con sẽ khả quan, và kỳ vọng thông tin tốt từ 3 nhà máy điện gió của GEX sẽ vận hành trước 1-11-21, thêm 1 thông tin nữa là GEX sẽ chia cổ tức tỷ lệ 9% bằng CP trong quý 4 năm 21; biểu đồ kỹ thuật cũng hỗ trợ khi giá phá đường cản trên để có thể chinh phục những vùng giá cao hơn; nhưng nhìn vào biểu đồ quá khứ chỉ nên kỳ vọng 1 tháng đi được 3 đến 4 giá; GEX có sự ổn định trong dài hạn và tăng trưởng đều đặn; nếu giữ trên 3 tháng sẽ có lời </t>
  </si>
  <si>
    <t>Ngày chốt GDKHQ: 12-11-21</t>
  </si>
  <si>
    <t>Theo dõi game PHT và chia cổ tức CP của SHB (giá 3-11-21: 28,65; Chia 10,5% PHT 100:28 giá 12,5k; Ngày chốt không hưởng quyền 12-11-21) CP của anh Hiển cũng thuộc loại đặc thù, ko nghiên cứu không hiểu thì không nên giao dịch</t>
  </si>
  <si>
    <t>Ngày 7-11-21</t>
  </si>
  <si>
    <t>Thế giới vẫn cứ xanh và tiếp nối đỉnh mới, VN cũng đang kéo đỉnh, không thể SHORT khi tín hiệu chưa rõ ràng, gói kích thích kinh tế đang trong bước chuẩn bị, VGC mới ký hợp đồng nguyên tắc cho thuê 23ha cho công ty bán dẫn Mỹ mở nhà máy tại Bắc Ninh =&gt; giá thứ 2 CE nữa là 45,9 tương đương PE 22,2 trong khi KBC đang PE 30, cho nên có thể kỳ vọng với tin này VGC có thể lên PE 30 và dòng tiền đang chú ý tới dòng họ cổ phiếu Tuấn Mượt, tăng khá tốt nên có thể đu để kỳ vọng giá VGC lên 60; MARGIN của VGC cũng tốt 50% so với CEO 0%, KBC 0%; ITA 0%; GEX 40%; VIX 0% =&gt; kỳ vọng chốt thấp nhất 10 giá và cắt lỗ 6 giá cho 22,8k CP ~ 150M (vẫn hoàn thành kế hoạch LN đầu năm đề ra tổng 400M) =&gt; lần này mà sai nữa thì đóng tài khoản bảo toàn nhé Trung ơi</t>
  </si>
  <si>
    <t>VGC</t>
  </si>
  <si>
    <t>Ngày 10-11-21</t>
  </si>
  <si>
    <t>Bộ xây dựng: Bất động sản KCN sẽ là điểm sáng =&gt; trong đó có đề cập đến KCN Yên Phong 2C ở Bắc Ninh của VGC =&gt; tiếp tục kỳ vọng về tương lai tươi sáng, IDC sau khi NN thoái vốn 2 năm cũng tăng lên gấp 3 lần, dưới 55 thì ko nên manh động, lần này rút kinh nghiệm của GEX sẽ không ăn non nữa, hy vọng không phải là double sai</t>
  </si>
  <si>
    <t>Ngày 12-11-21</t>
  </si>
  <si>
    <t xml:space="preserve">Giá giảm từ 49 về 46,7 và biểu đồ giống tạo đỉnh với tín hiệu đảo chiều khá ghê, giá vốn 45 thật sự không an toàn cho tình huống này, nhưng nếu là 1 cây nhúng xuống rũ bỏ đeo bám thì lại lỡ mất 1 thương vụ tốt nữa, hiện tại gex cũng đang chịu áp lực giảm giá sau khi tăng mạnh, ITA và KBC đang tốt, VGC ráng gồng thêm 2 phiên, từ lời thành lỗ hay chốt lời ít và bỏ qua cơ hội nếu nó thật sự tăng giá trở lại??? câu hỏi chỉ biết được trong tương lai=&gt; quyết định giữ lại 2 phiên nữa, nếu ko ổn đành phải cắt lỗ, giữ lại vốn trên 500M là đc, </t>
  </si>
  <si>
    <t>Ngày 16-11-21</t>
  </si>
  <si>
    <t>Giá đã break mạnh lên với 1 phiên tăng trần khớp hơn 2,5M CP, cuối phiên có 1 pha rũ với 500k về gần tham chiếu và sau đó vẫn vững vàng ở giá trần; Quyết định mua thêm MARGIN tăng trưởng để tận dụng nhịp tăng giá này, kỳ vọng 6x và canh chốt ở 68, còn nếu trái nhận định thì sẽ giải phóng lệnh ở mức hòa vốn =&gt; chốt ngày tại 51,8 tuy nhiên nếu tốt hơn có thể vào lệnh ở giá 50 hoặc canh chốt ở 53,3 và mua lại ở giá 51,3 lướt sóng thành công (nói vậy thôi chứ ko thể biết trước đc như vậy) =&gt; tạm thời hài lòng với việc mua thêm Margin</t>
  </si>
  <si>
    <t>Lại có game PHT 1:1</t>
  </si>
  <si>
    <t>Ngày 17-11-21</t>
  </si>
  <si>
    <t>Sau khi có tin VND sẽ phát hành thêm 1:1 giá đã tăng trần; VGC sau 1 ngày tăng thì đầu phiên tiếp tục bị bán mạnh; sai lầm khi ko lướt sóng hôm qua sẽ đc giá tốt cho hôm nay; nếu giá break và đóng cửa dưới 50 (48) thì sẽ canh chốt hết, vì thấy lực tiền và phong cách đánh của HST Tuấn mượt thường như vậy</t>
  </si>
  <si>
    <t>Ngày 18-11-21</t>
  </si>
  <si>
    <t>VGC giai đoạn này rất khó chịu, khi các cổ phiếu bđs khác liên tục tăng trần thì trong 2 phiên gần đây liên tục bị đè bán tạo tâm lý bán tháo, nhìn giao dịch rất dễ bị dao động và phải xả hàng, cần kiên nhẫn với mã cp cô đặc, chỉ cần đủ thì lúc chạy sẽ rất khủng khiếp, nên vẫn phải kiên nhẫn Trung ah, và đường thoát khi ko đạt được kỳ vọng tăng giá là giá phá thủng hỗ trợ tâm lý 50 và chốt ở 49 để tìm cơ hội khác; không nên mất bình tĩnh mà chốt quá sớm khi giá chưa chạy theo ý muốn, vậy nhá</t>
  </si>
  <si>
    <t>Ngày 22-11-21</t>
  </si>
  <si>
    <t>Đã không tỉnh táo và mất hàng giá sàn; 3 tuần liên tiếp tự doanh mua ròng VGC từ giá thấp nhất 38 đến cao nhất 54,6 với khối lượng tương đương 5 triệu cổ trên tổng khớp 3 tuần ~30 triệu cổ; tuần này an tâm nắm giữ nếu giá dưới 48 thì chấp nhận thoát để bảo toàn vốn; còn không thì có thể kỳ vọng giá sẽ tiếp tục tăng trưởng khi bước qua cây nến tháng mới (có thể target giá tháng này đã đạt tới mức kỳ vọng nên giá sẽ đi sideway tích lũy trong vùng 50-54)</t>
  </si>
  <si>
    <t>Tuy trong phiên cắt có tăng nhưng chốt phiên vẫn sàn và ngày hôm sau giảm tiếp 3,2k chốt 45,1 =&gt; tạm thời cắt đúng; Cắt do thấy sắp hết dư mua - SAI vì khối lượng khớp lệnh trên 1M với VGC đã là nhiều- do dự và thiếu kiên nhẫn nên mất mát khá lớn khi chốt lệnh - tham không đúng thời điểm và sợ khi không kiềm chế  được cảm xúc, sai lầm này phải trả giá bằng 100M;FULL Margin 490M với kỳ vọng dòng tiền vào họ Tuấn Mượt, và tin cty bán dẫn lớn của Mỹ ký hợp đồng nguyên tắc mướn 23ha của VGC làm nhà xưởng ngày 5-11(tăng trần) =&gt; kỳ vọng PE sẽ lên 30 ~ giá 60, giá đua &lt;46; Chấp nhận lỗ 155M</t>
  </si>
  <si>
    <t>Ngày 24-11-21</t>
  </si>
  <si>
    <t xml:space="preserve">Nếu nhìn vào biểu ồ thì vào SHORT khá mạo hiểm trong lúc này, </t>
  </si>
  <si>
    <t>SHORT</t>
  </si>
  <si>
    <t>QUÁ SAI CẮT LỖ; SHORT giá không tốt lắm trong 30' đầu phiên cao nhất 33 S 30 =&gt; tất cả trông chờ vào vận may và bóp band, mong chờ gap tăng và 1 cây nến D1 đóng cửa giảm- BB đang bóp lại nên có thể vào canh SHORT giá cao và hy vọng giá không phá mạnh biên trên để leo band; Sau khi giá đâm thủng 1500 (1486) thì bật tăng trở lại, vào short 9 HĐ hơi sớm ở 1513, mai lại vào tiếp 11 HĐ giá 1530, chấp nhận cắt lỗ khi giá vượt lên kháng cự phía trên 1550-70 (giá đang bóp band nên khả năng cũng khó đi luôn, cắt lỗ xa để tránh quét, còn nếu đi phá luôn thì phải chịu cắt lỗ nhiều); ngày 23-11 vẫn short trung bình giá dù biết là thị trường đang rất mạnh, nhưng chấp nhận rủi ro để nắm bắt cơ hội lần này, vì nếu giao dịch thì mình đã dính lệnh SHORT tại 1500 khi giá phá hỗ trợ (có lời ko biết thành lỗ ko thôi), SHORT 20 HĐ giá trung bình 1521 cũng ko phải là quá tệ</t>
  </si>
  <si>
    <t>Ngày 26-11-21</t>
  </si>
  <si>
    <t>Còn dư địa margin tới 400M mà VCBS hết MG để cấp, tranh thủ đặt lệnh lúc sáng thì OK còn khớp hay ko thì chưa biết; hnay 40M cổ mua giá thấp 48-50 về tài khoản hy vọng là giá sẽ có sự điều chỉnh nhẹ để thứ 2 vẫn còn giá tốt mua vào</t>
  </si>
  <si>
    <t>Ngày 27-11-21</t>
  </si>
  <si>
    <t>Bất ngờ thế giới giảm mạnh 3%, 1 con số khủng khiếp vì cho rằng biến chủng mới kháng vacxin và có nguy cơ đình trệ mọi việc như lần đầu covid xuất hiện; cứ tưởng  là tiền sẽ lại dồn vào chứng khi dịch bệnh tiếp tục nhưng tại sao thế giới lại phản ứng tiêu cực như vậy, thứ 2 mua full Margin có phải là sự tự sát!!!\</t>
  </si>
  <si>
    <t>Ngày 30-11-21</t>
  </si>
  <si>
    <t>Vì VCBS full margin mà làm mình mất biết bao nhiêu giá và cơ hội khi quyết định vào SSI (hnay phải đặt ATO để tranh thủ vì sợ hết margin và ko biết giá nào khớp nên đành chọn ATO và sau giảm về 55,8 cao nhất 57,7 đóng phiên sáng 56,3) =&gt; chủng covid mới khả năng vẫn là 1 ẩn số làm cho ttck thế giới chao đảo vì lo âu sẽ tái phong tỏa trở lại, để đề phòng rủi ro mình quyết định tạm thời gác lại kỳ vọng lợi nhuận và chốt sớm tại mức giá 56,3 ngay giá mua vì lo lắng ttck thế giới lại phủ bóng đen lên ttck vn trong nay mai, và mình đang xài full margin nên cũng là lý do để bảo toàn vốn, sai lầm là sáng nay vào lệnh thì 3 bữa nữa mới về, nếu có biến gì thì cũng ko thể giải quyết được</t>
  </si>
  <si>
    <t xml:space="preserve">chốt trước 18,7k để phòng thủ trước ám ảnh covid với biến chủng mới, ttck thế giới có nguy cơ ảnh hưởng tâm lý đến vn </t>
  </si>
  <si>
    <t>Ngày 1-12-21</t>
  </si>
  <si>
    <t xml:space="preserve">Cây nến tháng của SSI rất đẹp - nên giữ lệnh =&gt; đó là lý do vào lệnh sau khi thoát ra ngày hôm qua </t>
  </si>
  <si>
    <t xml:space="preserve">gói gém nạp thêm tiền </t>
  </si>
  <si>
    <t>Ngày 2-12-21</t>
  </si>
  <si>
    <t>đang giao dịch 54,6-7 tới phiên ATC bị đạp hơn 2M CP giảm mạnh về 54 (-1,2k); Ngoài ra trong phiên giao dịch liên tục đẩy lên trên tham chiếu với trường hợp kê lệnh mua 500k đến 1M cổ ở giá 55;55,1;55,2 nhưng sau đó hủy lệnh và lực bán càng lúc càng mạnh áp đảo hoàn toàn lực mua; vẫn kỳ vọng lớn vào game PHT và chấp nhận cắt lỗ lệnh này ở 48k - đau thương cũng phải cắt, cho dù có tăng lại cũng phải cắt ở giá này vì để bảo toàn việc hoàn thành mục tiêu 2021; có gì thì sang năm bắt đầu làm lại, vậy nhé</t>
  </si>
  <si>
    <t>Ngày 21-12-21</t>
  </si>
  <si>
    <t xml:space="preserve">Ngày kỷ niệm 21 năm thành lập SSI, thị trường thế giới phiên trước đó diễn biến xấu; hnay SSI trả lại điểm số hôm qua tăng, đóng cửa tại 52,5k với 12,3M khớp lệnh; vẫn còn cách bờ 2,5k; 1 lệnh vào sai giá và thời điểm phải trả giá bằng thời gian và khoản lỗ treo, phải nhức đầu quyết định giữ hay cắt lỗ sớm vì vào sai; Tạm thời ngưng Top up thêm vào TK này, để dành nuôi 1 lệnh này đợi tin KRX được triển khai coi như khoản đầu tư dài hạn, kỳ vọng tài khoản sẽ chạm mốc 1B với quyết định này, hoặc sai thì chấp nhận cắt lỗ còn lại 300M và sẽ làm lại </t>
  </si>
  <si>
    <t>Theo dõi PHT Cổ phiếu SSI</t>
  </si>
  <si>
    <t>Giá Close cao nhất: 55,9k Ngày 30-11-21</t>
  </si>
  <si>
    <t>topup vào tiếp SSI, được thêm 400CP;  hy vọng không bị call margin khi hết năm 2021; kế hoạch là liều và lỳ giữ đến khi nào có thông tin mới về hệ thống KRX đc triển khai</t>
  </si>
  <si>
    <t>Ngày 31-12-21</t>
  </si>
  <si>
    <t>SSI đóng cửa giá 51,8k; Chốt sổ 2021: TK ghi có 537M; NAV 661M; CK 1398M; DEBIT 737M</t>
  </si>
  <si>
    <t>Ngày 1/1/2022</t>
  </si>
  <si>
    <t>Đánh giá 2021</t>
  </si>
  <si>
    <t>2 - Sức khỏe: chăm con ban đêm thiếu ngủ và dính covid nên sức khỏe ko đạt như kỳ vọng (giải cầu đánh thất bại do vấn đề thể lực)</t>
  </si>
  <si>
    <t>4 - Ngoại ngữ: dậm chân tại chỗ và thụt lùi</t>
  </si>
  <si>
    <t>5 - Gia đình: nên có tài chính vững mạnh hơn thì sẽ ổn hơn</t>
  </si>
  <si>
    <t>Mục tiêu 2022</t>
  </si>
  <si>
    <t xml:space="preserve"> </t>
  </si>
  <si>
    <t>4 - Kiến thức: tập lại việc đọc sách, và duy trì kế hoạch học tập, đăng ký học về Mạng để chuyển đổi công việc và nắm vững về an toàn mạng</t>
  </si>
  <si>
    <t>5 - Gia đình: nên có tài chính vững mạnh hơn thì sẽ ổn hơn, nghĩ lại về cách ổn hơn</t>
  </si>
  <si>
    <t>6 - Nghiên cứu: dành riêng ra 1 khoản ngân sách để thử nghiệm các cách kiếm tiền khác, hoặc chi phí để nghiên cứu áp dụng công nghệ vào đời sống, công việc kiếm tiền</t>
  </si>
  <si>
    <t>Ngày 7-1-22</t>
  </si>
  <si>
    <t>Chốt tuần tại 51,6 đánh dấu 1 tuần buồn vì tín hiệu tháng và tuần đều xấu, giờ chỉ trông chờ vào game tăng vốn, kết quả kinh doanh 2021 sắp công bố và có thể kỳ vọng đôi chút về kế hoạch mục tiêu kinh doanh 2022; kỳ vọng giá SSI trên 60k và tối thiểu là ko phải cắt lỗ</t>
  </si>
  <si>
    <t>Ngày 10-1-22</t>
  </si>
  <si>
    <t>2 - Sức khỏe: tính toán cân bằng lại về gia đình, công việc, học tập và sức khỏe, chuyển qua chế độ luyện tập chạy bộ để tăng sức bền, tập cầu lông để giao tiếp và giải trí.</t>
  </si>
  <si>
    <t>SSI giao dịch giảm làm cho người cầm cp như mình thấy nản, cố gắng đợi đến 20-1-22 xem báo cáo tài chính như thế nào và xem xét thoát ra khỏi TT 1 thời gian, càng ngày thấy TT càng nguy hiểm tuy chưa có dấu hiệu xác nhận =&gt; FOMO sau đó nằm gai nếm mật hoặc vào 1 thời gian ngắn có lời luôn và gồng lãi ntn cho hợp lý thì cái nào cũng cần phải có tinh thần mạnh mẽ và phân tích kỹ càng =&gt; trường hợp đang gồng lỗ SSI full MG thì chấp nhận thương đau theo game PHT mình nhìn giá hàng ngày quá ư khó chịu và đang sinh tâm lý SL để thoát ra khỏi tình huống lỗ chồng lỗ kéo dài =&gt; quyết định đau thương 1 lần với niềm tin mù quáng, sẽ giữ tới hết tháng 1 hoặc lỗ về 44k chấp nhận mất hết lợi nhuận của năm 2021 cho quyết định này, và cảm ơn vì bài học sâu sắc fomo theo ngay đỉnh vì tự tin thái quá lúc đang trên đà chiến thắng</t>
  </si>
  <si>
    <t>Ngày 14-1-22</t>
  </si>
  <si>
    <t>Xmen LDG 23,5; ITA 15,6; LCG 23,65; VIX 35,5; HBC 28,85; tổng 18 mã</t>
  </si>
  <si>
    <t>Ngày 18-1-22</t>
  </si>
  <si>
    <t>Bấn loạn thật sự không biết sử lý tài khoản ntn khi thị trường giảm mạnh và SSI giảm về mức thấp 42,3k; mức  lỗ đã tới 359M; giờ mà cắt thì cũng dở mà để thì cũng dở, cắt thì sẽ ko thể mua lại được 27k CP, và có thể bị cắt luôn MG, cố gắng cầm cự thì khoảng 3 giá nữa sẽ bị bán giải chấp ở giá 39</t>
  </si>
  <si>
    <t>Ngày 20-1-22</t>
  </si>
  <si>
    <t xml:space="preserve">Tối ngày 19-1 ra tin BCTC Quý và Năm 2021 với kết quả khả quan mà nguyên ngày 20-1 bị đè giá dưới tham chiếu, nhỏm lên đóng cửa tại 52,7 (+0,5) trong phiên chốt phái sinh; </t>
  </si>
  <si>
    <t>Ngày 22-1-22</t>
  </si>
  <si>
    <t xml:space="preserve">Ngày 21 giảm 2,5% cùng với toàn dòng do tin ko cho giao dịch lô lẻ 10 mà vẫn giữ lô 100; </t>
  </si>
  <si>
    <t xml:space="preserve">19-1-22: nghị quyết thông qua PHT giá 43,85k; chốt 31-12-21: giá 51,8k; 8-12-21: giá chốt phiên 51,8k; Ngày 10-1-22: chốt biểu quyết; Ngày chốt danh sách biểu quyết phương án PHT </t>
  </si>
  <si>
    <r>
      <t xml:space="preserve">Total 80%: </t>
    </r>
    <r>
      <rPr>
        <b/>
        <sz val="11"/>
        <rFont val="Calibri"/>
        <family val="2"/>
        <scheme val="minor"/>
      </rPr>
      <t>15-7-21</t>
    </r>
    <r>
      <rPr>
        <sz val="11"/>
        <rFont val="Calibri"/>
        <family val="2"/>
        <scheme val="minor"/>
      </rPr>
      <t xml:space="preserve">:(64)Xin ý kiến CĐ; </t>
    </r>
    <r>
      <rPr>
        <b/>
        <sz val="11"/>
        <rFont val="Calibri"/>
        <family val="2"/>
        <scheme val="minor"/>
      </rPr>
      <t>28-7-21</t>
    </r>
    <r>
      <rPr>
        <sz val="11"/>
        <rFont val="Calibri"/>
        <family val="2"/>
        <scheme val="minor"/>
      </rPr>
      <t xml:space="preserve">:(56,3)Chuẩn bị; </t>
    </r>
    <r>
      <rPr>
        <b/>
        <sz val="11"/>
        <rFont val="Calibri"/>
        <family val="2"/>
        <scheme val="minor"/>
      </rPr>
      <t>10-9-21</t>
    </r>
    <r>
      <rPr>
        <sz val="11"/>
        <rFont val="Calibri"/>
        <family val="2"/>
        <scheme val="minor"/>
      </rPr>
      <t>:(64,6)Nghị quyết;(</t>
    </r>
    <r>
      <rPr>
        <b/>
        <sz val="11"/>
        <rFont val="Calibri"/>
        <family val="2"/>
        <scheme val="minor"/>
      </rPr>
      <t>22-9-21</t>
    </r>
    <r>
      <rPr>
        <sz val="11"/>
        <rFont val="Calibri"/>
        <family val="2"/>
        <scheme val="minor"/>
      </rPr>
      <t>:dự NHNN Duyệt)</t>
    </r>
    <r>
      <rPr>
        <b/>
        <sz val="11"/>
        <rFont val="Calibri"/>
        <family val="2"/>
        <scheme val="minor"/>
      </rPr>
      <t>16-9-21</t>
    </r>
    <r>
      <rPr>
        <sz val="11"/>
        <rFont val="Calibri"/>
        <family val="2"/>
        <scheme val="minor"/>
      </rPr>
      <t xml:space="preserve">:(67)NHNN Duyệt;4-10-21:Dự Ngày GDKHQ </t>
    </r>
    <r>
      <rPr>
        <b/>
        <sz val="11"/>
        <rFont val="Calibri"/>
        <family val="2"/>
        <scheme val="minor"/>
      </rPr>
      <t>=&gt; 7-10 Ngày GDKHQ</t>
    </r>
  </si>
  <si>
    <r>
      <t xml:space="preserve">Total 61,8%: </t>
    </r>
    <r>
      <rPr>
        <b/>
        <sz val="11"/>
        <rFont val="Calibri"/>
        <family val="2"/>
        <scheme val="minor"/>
      </rPr>
      <t>19-3-18</t>
    </r>
    <r>
      <rPr>
        <sz val="11"/>
        <rFont val="Calibri"/>
        <family val="2"/>
        <scheme val="minor"/>
      </rPr>
      <t>: (39,18;64,3)Chuẩn bị,ĐHCĐ;</t>
    </r>
    <r>
      <rPr>
        <b/>
        <sz val="11"/>
        <rFont val="Calibri"/>
        <family val="2"/>
        <scheme val="minor"/>
      </rPr>
      <t>20-4-21</t>
    </r>
    <r>
      <rPr>
        <sz val="11"/>
        <rFont val="Calibri"/>
        <family val="2"/>
        <scheme val="minor"/>
      </rPr>
      <t>:(37,82;61,2)Nghị quyết;</t>
    </r>
    <r>
      <rPr>
        <b/>
        <sz val="11"/>
        <rFont val="Calibri"/>
        <family val="2"/>
        <scheme val="minor"/>
      </rPr>
      <t>27-4-18</t>
    </r>
    <r>
      <rPr>
        <sz val="11"/>
        <rFont val="Calibri"/>
        <family val="2"/>
        <scheme val="minor"/>
      </rPr>
      <t>:(33,06;53,5)Nghị quyết;</t>
    </r>
    <r>
      <rPr>
        <b/>
        <sz val="11"/>
        <rFont val="Calibri"/>
        <family val="2"/>
        <scheme val="minor"/>
      </rPr>
      <t>31-5-18</t>
    </r>
    <r>
      <rPr>
        <sz val="11"/>
        <rFont val="Calibri"/>
        <family val="2"/>
        <scheme val="minor"/>
      </rPr>
      <t>:(27,81;45)NHNN duyệt;</t>
    </r>
    <r>
      <rPr>
        <b/>
        <sz val="11"/>
        <rFont val="Calibri"/>
        <family val="2"/>
        <scheme val="minor"/>
      </rPr>
      <t>18-6-18</t>
    </r>
    <r>
      <rPr>
        <sz val="11"/>
        <rFont val="Calibri"/>
        <family val="2"/>
        <scheme val="minor"/>
      </rPr>
      <t>:(30,3)Ngày GDKHQ,Nghị quyết;</t>
    </r>
    <r>
      <rPr>
        <b/>
        <sz val="11"/>
        <rFont val="Calibri"/>
        <family val="2"/>
        <scheme val="minor"/>
      </rPr>
      <t>29-6-21</t>
    </r>
    <r>
      <rPr>
        <sz val="11"/>
        <rFont val="Calibri"/>
        <family val="2"/>
        <scheme val="minor"/>
      </rPr>
      <t xml:space="preserve">:(28,7)chốt DS; </t>
    </r>
    <r>
      <rPr>
        <b/>
        <sz val="11"/>
        <rFont val="Calibri"/>
        <family val="2"/>
        <scheme val="minor"/>
      </rPr>
      <t>2-7-18</t>
    </r>
    <r>
      <rPr>
        <sz val="11"/>
        <rFont val="Calibri"/>
        <family val="2"/>
        <scheme val="minor"/>
      </rPr>
      <t>:(27,2)Phát hành;</t>
    </r>
    <r>
      <rPr>
        <b/>
        <sz val="11"/>
        <rFont val="Calibri"/>
        <family val="2"/>
        <scheme val="minor"/>
      </rPr>
      <t>20-7-18</t>
    </r>
    <r>
      <rPr>
        <sz val="11"/>
        <rFont val="Calibri"/>
        <family val="2"/>
        <scheme val="minor"/>
      </rPr>
      <t xml:space="preserve">:(29,5)Niêm yết; </t>
    </r>
    <r>
      <rPr>
        <b/>
        <sz val="11"/>
        <rFont val="Calibri"/>
        <family val="2"/>
        <scheme val="minor"/>
      </rPr>
      <t>27-7-18</t>
    </r>
    <r>
      <rPr>
        <sz val="11"/>
        <rFont val="Calibri"/>
        <family val="2"/>
        <scheme val="minor"/>
      </rPr>
      <t>:(26,4)Giao dịch</t>
    </r>
  </si>
  <si>
    <t>Tính toán call margin</t>
  </si>
  <si>
    <t>Giá TT</t>
  </si>
  <si>
    <t>Giá trị TT</t>
  </si>
  <si>
    <t>Lời/Lỗ</t>
  </si>
  <si>
    <t>Tỷ lệ tài khoản</t>
  </si>
  <si>
    <t>Hiện tại</t>
  </si>
  <si>
    <t>Lãi+Phí</t>
  </si>
  <si>
    <t>tiếp tục topup vào chống cháy</t>
  </si>
  <si>
    <t>tiếp tục topup</t>
  </si>
  <si>
    <t>Ngày 24-2-22</t>
  </si>
  <si>
    <t xml:space="preserve">topup vào vì bị xử lý do quên gia hạn nợ </t>
  </si>
  <si>
    <t>Ngày 23-2-22 đến hạn khoản vay phải thanh toán mà quên gia hạn, T1 bị khóa tài khoản để tự xử lý hoặc nộp tiền trong buổi sáng, buổi chiều sàn tự bán giá sàn, và cũng chỉ cho gia hạn 1 lần thôi, =&gt; kết quả là với tình hình chiến sự Nga-Ucraina nổ ra thì đã quyết định cắt lỗ và ghi nhận khoản lỗ cho năm 2021, bắt đầu 1 năm mới ko có lỗ cho có khí thế, và từ bài học cay đắng này nên cẩn trọng hơn và đừng bao giờ ngạo nghễ khi thắng lợi nữa, vì tất cả nó chỉ là tạm thời mà thôi</t>
  </si>
  <si>
    <t>1 - Tài chính: Đã có 310M, Cơ cấu doanh thu dự kiến: Lợi nhuận từ đầu tư 20% ~ 62M, Kinh doanh 50M, làm 60M; =&gt; Tổng 482M (310+62+50+60) (Sẽ phải có đợt điều chỉnh kỳ vọng cho năm 2022 sau khi thoát đc lệnh SSI này)</t>
  </si>
  <si>
    <t>1 - Tài chính: Chốt sổ 2021 chỉ đạt 317M hoàn thành 43% so với kế hoạch là 400M (thất bại vì máu kiếm tiền tỷ khi hoàn thành vượt kế hoạch sớm và nhiều hơn dự tính -ngạo nghễ quá sớm và máu full margin không đúng giá và thời điểm (hoàn thành vượt 137M(~34,25%) so với kế hoạch là 400M từ vốn 240M (1 phần do ttck thuận lợi và đu đúng 1 sóng của VND, nhưng cũng bỏ lỡ 1 số sóng khác tương đối đáng tiếc =&gt; chưa thể gọi là thành công trong thị trường tăng trưởng mạnh như vậy đc =&gt; MAY MẮN ko phải lúc nào cũng ở bên nên hãy thận trọng) -Theo dõi 537M; NAV 661M (trong đó 110M); CK 1398M; DEBIT 737M (31-12-21)-)</t>
  </si>
  <si>
    <t xml:space="preserve">3 - Công việc: đã hiểu rõ hơn về chương trình nhưng vẫn chưa làm nhiều về phần cơ; </t>
  </si>
  <si>
    <t>3 - Công việc: cần chuyển đổi cơ cấu công vệc cho thông minh hơn (Sửa máy, Bán hàng, Làm thêm, Đầu tư tài chính, đầu tư nuôi trồng); cần chuyển đổi công việc =&gt; suy tính và lên kế hoạch chi tiết cho vấn đề này: bắt đầu bằng học MẠNG sau đó làm cho dòng tiền thụ động xuất hiện bền vững</t>
  </si>
  <si>
    <t>Ngày 25-2-22</t>
  </si>
  <si>
    <t>Mua lại 22k ssi khi tình hình ttck thế giới có diễn biến hồi phục sau đà bán tháo mạnh, cảm thấy nhẹ nhõm khi đã cắt lỗ và số lượng mua lần này ít hơn do thua lỗ và đẩy giá trung bình lên 58 mới hòa vốn</t>
  </si>
  <si>
    <t>do tình hình Nga vs Ukraina càng căng thẳng nên quyết định thoát hết đứng ngoài bảo toàn vốn; mất 5,5k CP so với hôm qua, giữ lệnh cho tới khi ra tờ A4</t>
  </si>
  <si>
    <t>Ngày 1-3-22</t>
  </si>
  <si>
    <t>Nên giảm quy mô đầu tư lại trong giai đoạn hiện nay vì tình hình bất ổn và biểu đồ đang ở quanh khu vực giá cao của 2 năm gần đây</t>
  </si>
  <si>
    <t>SJF</t>
  </si>
  <si>
    <t>dvphuocs159@gmail.com</t>
  </si>
  <si>
    <t>Pp19822022</t>
  </si>
  <si>
    <r>
      <t>BÀI HỌC XƯƠNG MÁU: 2 từ ghi nhớ "</t>
    </r>
    <r>
      <rPr>
        <b/>
        <i/>
        <sz val="11"/>
        <color theme="1"/>
        <rFont val="Calibri"/>
        <family val="2"/>
        <scheme val="minor"/>
      </rPr>
      <t>NGẠO NGHỄ</t>
    </r>
    <r>
      <rPr>
        <sz val="11"/>
        <color theme="1"/>
        <rFont val="Calibri"/>
        <family val="2"/>
        <scheme val="minor"/>
      </rPr>
      <t>"; Dự lợi nhuận SSI 2021 3000 tỷ =&gt; PE 17,7 và game tăng vốn 2:1 giá 15k sắp tới + thị trường ck thuận lợi với KLGD khủng tiếp tục mang lại tăng trưởng cho dòng chứng =&gt; kỳ vọng lợi nhuận 20 giá cho 25k CP(75)</t>
    </r>
  </si>
  <si>
    <t>Ngày 8-3-22</t>
  </si>
  <si>
    <t>Sai tập 2(n mới đúng) khi chốt (8-3) đúng ngày thị trường đỏ mà SSI lại break lên trên, mất liền 30M sau 10'; Chốt phiên 3-3 giá 45,5 - tương đối ổn - hơi sai khi lại vào full margin trong thời điểm này, T3 nên chốt margin!!!; sau 1 đêm TT Mỹ hồi phục gần 2% thì lại tiếp tục nắm giữ đợi tờ A4, tuy nhiên cũng ko kỳ vọng nhiều vì VND sắp đến ngày chốt lại giảm giá</t>
  </si>
  <si>
    <t>Lãi suất TK 450M từ tháng 4/2022 6%/năm</t>
  </si>
  <si>
    <t>Quyết định rút phần lớn vốn ra để bảo toàn do tình hình chiến sự Nga Ukraina leo thang có thể thành thế chiến thứ 3 nếu có gì đó thúc đẩy, chuyển qua đánh số lượng nhỏ, lời or lỗ ít, bù trừ cho khoản lãi suất gởi tiết kiệm</t>
  </si>
  <si>
    <t>T3 về cắt bất kể lời hay lỗ bao nhiêu trước thứ 5; vào lệnh xong thì giảm liền đã thấy rõ thị trường trừng phạt tính máu me của mày rồi Trung ơi, đã ra chiến lược rõ ràng như vậy mà sao vẫn ko tuân thủ khi thấy thị trường tăng, ko kiểm soát đc sự fomo thì ko nên đầu tư quá; đây không phải lần đầu, lần thứ 2, hay lần cuối vì giang sơn dễ đổi, bản tính khó dời; phải thay đổi để tồn tại và phát triển nha Trung ơi</t>
  </si>
  <si>
    <t>Quyết định Thị trường đã bước vào downtrend và tiếp tục kỳ vọng tt giảm; chấp nhận rủi ro 100tr để thử tiếp</t>
  </si>
  <si>
    <t>Ngày 15-3-22</t>
  </si>
  <si>
    <t>Chuyển 475,375M vào TKPS; all in vị thế Bán tại giá 1461; sau khi vn30 phá hỗ trợ mạnh 1470; =&gt; ÂM liền 2,260tr và hiện tại VN30 chốt ngày tại 1468,89, trong khi VN302204 chốt tại 1463</t>
  </si>
  <si>
    <t>không chấp nhận đánh bạc nữa, cơ cấu lại công việc kiếm tiền đều đặn nha; Chấp nhận lỗ trong khoản này</t>
  </si>
  <si>
    <t>Ngày 16-3-22</t>
  </si>
  <si>
    <t>ASM</t>
  </si>
  <si>
    <t>Ham hố kiếm dc tiền trên thị trường ck và phái sinh đã xẹp bớt, nhường chỗ cho 1 thực tế là rất khó để giữ đc tiền khi máu me cờ bạc nổi lên =&gt; duy trì sự tĩnh táo khi đầu tư nhé Trung ơi =&gt; tiếp tục tích lũy tiền để chuẩn bị cho thời cơ mới; Gởi: 459,375,865 - nhận 459,445,584 = Lời 69k/ngày</t>
  </si>
  <si>
    <t>Ngày 17-3-22</t>
  </si>
  <si>
    <t>Vào ASM kỳ vọng như GEX, giữ luôn hết 2 lần vay margin hoặc trên 30, 40 thì mới chốt; kỳ vọng game phát hành 2:1, NLMT và du lịch sinh thái cũng như quỹ đất nhiều; chấp nhận lỗ khi giá về 14</t>
  </si>
  <si>
    <t>Kỳ vọng lĩnh vực ko ảnh hưởng bởi địa chính trị, và sự phục hồi du lịch sau đại dịch</t>
  </si>
  <si>
    <t>NLG</t>
  </si>
  <si>
    <t>Lướt sóng dòng BĐS đang hot, t3 về chốt nếu có lời ít, lỗ thì nên chốt gần hết</t>
  </si>
  <si>
    <t>NBB</t>
  </si>
  <si>
    <t>HNG</t>
  </si>
  <si>
    <t>BTS</t>
  </si>
  <si>
    <t>Lướt sóng dòng BĐS đang hot, t3 về chốt nếu có lời ít, lỗ thì nên chốt gần hết; dòng bđs đi viện, chốt hết</t>
  </si>
  <si>
    <t>N</t>
  </si>
  <si>
    <t>Đáng lẽ phải nạp tài khoản riêng, kế hoạch là đạt kỳ vọng ASM sẽ phân chia lại tỷ trọng dành cho đầu tư</t>
  </si>
  <si>
    <t>Lướt sóng dòng xuất khẩu thủy sản hưởng lợi từ xuất khẩu và chia cổ tức tiền khủng</t>
  </si>
  <si>
    <t>IDI</t>
  </si>
  <si>
    <t>đánh theo phím hàng của VPS, FOMO giá TÍM hy vọng t3 thoát ko lỗ quá nhiều; cũng may T3 thoát đc giá xanh</t>
  </si>
  <si>
    <t>PVD</t>
  </si>
  <si>
    <t>TNG</t>
  </si>
  <si>
    <t>đánh theo phím hàng của VPS</t>
  </si>
  <si>
    <t>Quay lại lướt sóng dòng bđs, đu đỉnh hôm nọ, chốt giá 59,9, mua 58,5</t>
  </si>
  <si>
    <t>T4 chốt xong; đánh theo phím hàng của VPS, dòng dệt may đc hưởng lợi của thế giới</t>
  </si>
  <si>
    <t>T4 chốt lỗ; đánh theo phím hàng của VPS, vào ATC, 2 ngày có lơi, t3 về lỗ, số lượng ít giữ cho tới khi nào có lời thì bán, vì tình hình năng lượng vẫn sẽ căng thẳng 1 thời gian nữa</t>
  </si>
  <si>
    <t>đánh theo phím hàng của VPS hôm trước thoát 17,3; cắt để dành toàn lực lướt sóng T0 ASM</t>
  </si>
  <si>
    <t>Ngày 5-4-22</t>
  </si>
  <si>
    <t>May mắn chốt đc T1 - không tham, lướt sóng là lướt sóng; Lướt sóng T0 1k thất bại, không hiểu lý do vì sao bị bán tháo sàn trong phiên VNI tạo đỉnh=&gt; mai canh bán hết 30k còn 1k t3 về bán; tự nhiên máu me vào thêm 1k giá 23,8 sau đó thị trường tiếp tục giảm mạnh</t>
  </si>
  <si>
    <t>Giá lên 26,2 thì giảm sốc 1 phiên sàn ATC, chưa rõ lý do (có thể du lịch bị chính quyền tạm ngưng) tạm thời đánh giá là động thái rung cây cướp hàng =&gt; giữ tiếp =&gt; tạm thời kết thúc phiên đóng cửa tăng lên 24,8, thấy tương đối ổn, tạm thời vẫn đúng</t>
  </si>
  <si>
    <t xml:space="preserve">tiếp tục lướt sóng ASM T0, có thể chốt lời ở vùng 24,9 mà chần chừ nên mất cơ hội, đành thoát để đợi giá nhúng xuống hoặc tiền vào mạnh vượt 25 </t>
  </si>
  <si>
    <t xml:space="preserve">tiếp tục lướt sóng ASM T0, chốt khi test lại vùng 25,45 của hôm 6-4; thấy sai chốt hết luôn </t>
  </si>
  <si>
    <t>Ngày 6-4-22</t>
  </si>
  <si>
    <t xml:space="preserve">6-4 quyết định chốt hết vì thấy dấu hiệu sắp bị bán tháo giống phiên 5-4; 5-4 quyết định giữ lại vì lo sợ 4-4 là phiên rũ hàng của nhà cái;4-4 Lướt sóng T0 1k thất bại, không hiểu lý do vì sao bị bán tháo sàn trong phiên VNI tạo đỉnh=&gt; mai canh bán hết 30k còn 1k t3 về bán; hết phiên giao dịch 29-3 lại thấy sai khi xuất hiện cây nến giảm về lại 24,5 từ giá mở cửa 25,5 tín hiệu hình thành đỉnh ít nhất dễ 2 cây giảm trước khi tăng lại=&gt; chốt lệnh sớm 1 ngày hoặc mua vào sớm; định lướt sóng mà thất bại, phải trả giá hơn 10tr và mất 3 ngày T3; cũng may cover lại đúng số hàng đã bán và đóng cửa giá trần 24,9 ngay trong phiên </t>
  </si>
  <si>
    <t xml:space="preserve">Cảm giác bất an cổ ASM nên chốt hết số khả dụng 26k, còn lại 5k; quan trọng là bảo toàn vốn để còn chiến tiếp; vì mình đã thoát chết 1 lần ngày 4-4-22; và kết phiên lại mua sớm 5k giá 23,45 </t>
  </si>
  <si>
    <t>Ngày 7-4-22</t>
  </si>
  <si>
    <t>Vào full margin hơi mạo hiểm vì hơn khối lượng cũ 4k, vào sớm có quà hoặc sẽ bị lỗ nếu ko như kỳ vọng =&gt; kỳ vọng vào họp ĐHCĐ cuối tuần sẽ ra BCTC quý 1 kết quả tốt; Mới 10h30' mà đã bị vả vào mặt giá rớt về 22,3; hnay khả năng cao sẽ lau sàn phiên atc; đúng là hấp tấp vào lệnh giờ phải trả giá (~14M)</t>
  </si>
  <si>
    <t>Ngày 8-4-22</t>
  </si>
  <si>
    <t>close 21,8k đúng ra mua phiên atc 7-4 hoặc canh mua buổi sáng 8-4 khi giá vùng 21,1 - 21,3 thì ok; 1 ngày cầm máu, hy vọng mai họp hđcđ sẽ có tin tốt giúp asm chạy vào tuần sau, chứ hiện tại nến tuần là rất tiêu cực khi tạo tín hiệu đảo chiều giảm giá rất mạnh</t>
  </si>
  <si>
    <t>Ngày 15-4-22</t>
  </si>
  <si>
    <t>ASM chốt tuần tại 23,9 tăng được 1/2 so với giá đóng cửa tuần trước đó; hy vọng vẫn giữ CP; TT chuyển biến xấu vào phiên chiều khi hàng loạt cổ phiếu vn30 giảm mạnh</t>
  </si>
  <si>
    <t>Ngày 18-4-22</t>
  </si>
  <si>
    <t>Hnay thị trường đỏ lửa phiên sáng tạo áp lực tâm lý; dòng thủy sản đang thật sự hưởng lợi từ chính những yếu tố tạo ra sự giảm giá này, nên phải kiên định đừng để sự rung lắc của tt làm quyết định sai lầm; ngày hnay ko nên bán hoặc lướt sóng để theo dõi hết D1 =&gt; close 24k, đè giá xuống gần thấp nhất ngày từ đỉnh 25,25k phiên sáng, KLGD 8,7M, đạp 24,3 về 24 trong ATC nhưng có chặn dư mua hơn 100k =&gt; nếu tỉnh táo có thể lướt sóng lời hơn nửa giá, sợ đau tim nên nằm im, teo</t>
  </si>
  <si>
    <t>19-4 lời ko chốt, để chốt giá sàn, vì không biết lý do đạp sàn nên thà thoát còn hơn mai lại giảm mạnh nữa; 14-4 có giá cao nhất 24,2 và ngồi máy tại giá 23,7 ko chốt, đóng cửa 23,35 =&gt; phân vân giữa giữ và chốt non, cuối cùng chọn giữ và chốt khi giá thấp hơn 23; 7-4 mua full margin quá sớm ở 22,9, giá chốt phiên sàn 21,5; vào trung bình giá 5k bị dính lại; biết ATC sẽ bị đạp nữa mà lại vào 5k ở 23,45; mai giảm lại mua tiếp 5 hoặc 10k</t>
  </si>
  <si>
    <t>Ngày 20-4-22</t>
  </si>
  <si>
    <t>Đã biết sợ và cần đứng ngoài 1 đến 2 tháng theo dõi TT, hạn chế mua fomo khi tt hồi phục ngắn hạn, có thể anh ASM hay tìm 1 số cp khác trả cổ tức tiền đều đặn và giá cả hợp lý thì vào; ví dụ ASM trả 2021 15% và 2022 dự từ 20-30% =&gt; khoảng 30% TM cho cầm 1 năm tương đương 16% thì hoàn toàn ok; chốt phiên 20-4 ASM đóng sàn 20,8 với dư bán ATC hơn 1tr và bán giá sàn hơn 552,8k</t>
  </si>
  <si>
    <t>Ngày 21-4-22</t>
  </si>
  <si>
    <t>Ngày 22-4-22</t>
  </si>
  <si>
    <t>TT sàn la liệt vì thông tin Ông Nhân họ louis bị bắt vì thao túng chứng khoán, hàng loạt cổ có lái đỡ đầu trong danh sách lưu truyền bị bán tháo sàn hàng loạt, gởi 537,994M(Tiền về 14,667M) ngày lãi 61k =&gt; tt này tốt nhất là ko nên giao dịch gì hết, đợi và mua khi giá thật tốt =&gt; kết thúc phiên ASM vs IDI chất sàn hơn 4tr cp mà chỉ khớp vỏn vẹn 6,9k cp (vô tình hay cố ý bằng nhau?) dự là vẫn chưa mua đc khi T3 của phiên hôm nay về =&gt; mai tiếp tục gởi qua đêm từ sáng để không thể FOMO đc</t>
  </si>
  <si>
    <t>Tin sáng 22-4: IDI lãi 201 tỷ gấp 10 lần cùng kỳ; Tin cuối ngày 21-4 ra: giám đốc điều hành đăng ký mua vào 7tr cổ ASM từ ngày 26-4 đến ngày 25-5 nên đành phải xem xét hành động trước 1/3 (đề phòng trường hợp thông  báo mà ko mua đc do diễn biến giá ko phù hợp-cần hết sức tĩnh táo) =&gt; quyết định tiếp tục phong tỏa tài khoản tới sau lễ cho an toàn vốn (552,722) =&gt; chốt phiên ASM có lực cầu khá tốt và chốt trên giá sàn 2 line, tuần sau có thể canh vào mua bắt đáy, cuối tuần nghiên cứu tỷ trọng phù hợp</t>
  </si>
  <si>
    <t>Ngày 23-4-22</t>
  </si>
  <si>
    <t>VN Index</t>
  </si>
  <si>
    <t xml:space="preserve">Cao nhất </t>
  </si>
  <si>
    <t>Tỷ lệ</t>
  </si>
  <si>
    <t>VN 30</t>
  </si>
  <si>
    <t xml:space="preserve">3 đêm lãi của 552M là 167k; Đêm qua DJ đi gần 3% (-981 điểm - 28,2%); VN30 giảm từ đỉnh hơn 6% và tình hình sẽ bị siết dòng tiền, biểu đồ tháng khả năng kết thúc bằng 1 cây giảm mạnh nên tuần sau có thể canh short thay vì mua CP; Short 1420-40 (giá tốt nhất để vào theo kỹ thuật là 1480, kế đến là 1468) cắt lỗ 1502, khối lượng 20 lots; </t>
  </si>
  <si>
    <t>Ngày 25-4-22</t>
  </si>
  <si>
    <t>CCP 550M, sức mua bán 384M, giao dịch 20 lots; FULL SHORT vì mới giảm từ đỉnh 9% và thế giới phiên cuối tuần giảm gần 3%, cộng với tuần này chuẩn bị nghỉ lễ nên dòng tiền sẽ hạn chế giao dịch và có khả năng còn bị rút ra; chấp nhận lỗ tối đa 100 giá tương đương 200M cho lần nhận định này (có thể SL ngay tại 1530) =&gt; tt đi nhanh quá sức kỳ vọng hơn 50 điểm, đạt số tiền lớn nên tạm chốt đợi hồi lại rồi vào giao dịch tiếp =&gt; chốt phiên 1366, sai khi chốt sớm, vì tâm lý bi quan đang chiếm đa số, sau 2h sẽ có giá thấp hơn, mấy nay đang đúng vậy mà lại không nhớ =&gt; rút kinh nghiệm nên phân tích tâm lý và kỳ vọng</t>
  </si>
  <si>
    <t>ko nhớ</t>
  </si>
  <si>
    <t xml:space="preserve">Chốt lãi 100M bên phái sinh, gởi TK 551,348 qua đêm (dự được 55k tiền lãi)-tình hình là quá kỳ vọng của ngày hôm nay- lại phải nghỉ ngơi, hơi sai nhưng không đc máu me, đợi chờ cũng là kiếm tiền trong thị trường giá xuống ntn, vì biết bao nđt đang thua lỗ nặng nề, mình đc ntn đã là may mắn lắm </t>
  </si>
  <si>
    <t xml:space="preserve">Đánh theo kiểu Stop, lỗ ít mà lời ít nhưng đều đặn hàng ngày, hàng tuần </t>
  </si>
  <si>
    <t>Ngày 26-4-22</t>
  </si>
  <si>
    <t>không hiểu vào lệnh lúc nào luôn, vì đặt lệnh BULL&amp;BEAR</t>
  </si>
  <si>
    <t xml:space="preserve">(Sức mua 70%; Tiền tại CTCK: 3,816,475; Tiền tại CCP: 99,994,500; Phí ký quỹ: 100k) Niêm phong tiền để khỏi táy máy - 551,406M; Lướt PS quá tốt cho 1 ngày 2,7M =&gt; nên nghỉ ngơi tập trung làm việc =&gt; đáng tiếc là ASM từ sàn lên trần vào cuối phiên, thứ 5 tuần sau Fed sẽ chính thức tăng lãi suất lần đầu trong năm 2022 nên tránh mua đuổi và tạm đứng ngoài quan sát hết tuần tới nữa, chỉ giao dịch nhỏ và bảo toàn lợi nhuận ít nhất là giữ đc mục tiêu 500M trong năm 2022 này </t>
  </si>
  <si>
    <t>Ngày 27-4-22</t>
  </si>
  <si>
    <t>Cơ cấu lại danh mục và phân bổ nguồn vốn cũng như tính toán lại mục tiêu để đừng máu me mà ảnh hưởng tới NAV hiện có, quan trọng là phải ổn định và giữ được tiền (100M giao dịch PS??? ; ALL IN ASM???) Thời điểm vào lệnh: SHORT khi VN30 lên kháng cự mạnh 1430, 1465; mua ASM sau tuần 5-5 để theo dõi ảnh hưởng của việc Mỹ tăng lãi suất ntn đến tt toàn cầu; Khối lượng vào SHORT 10 lots chấp nhận cắt lỗ phần dư 35M tương đương 37 điểm</t>
  </si>
  <si>
    <t>LONG</t>
  </si>
  <si>
    <t>Danh mục: Cơ sở: 384M; Phái sinh: 273,8M; Rút ra mà quên gởi qua đêm 272M=&gt; thất thu :D</t>
  </si>
  <si>
    <t>Chốt ngày: Tiền tại CTCK 811,245; Tiền tại CCP: 989k; Lãi 3,75M; Tổng phí: 755k</t>
  </si>
  <si>
    <t>Ngày 28-4-22</t>
  </si>
  <si>
    <t>Vẫn nhận định thị trường giảm giá và canh hồi để Short, nhưng cơ hội Long khi giá giảm mạnh mà ko có lý do, có thể đc kéo lại vào phiên chiều nên tạm Long và trả lệnh trong ngày (atc)=&gt; nhận định đúng mà ko giữ đc lệnh, còn vào lộn lệnh Short 10 lots, may mà phát hiện và thoát kịp thời, không thì lỗ ít nhất 25m</t>
  </si>
  <si>
    <t>Định vào giữ lệnh SHORT (1401 đầu ngày) cho kết thúc cây tháng và đợi sau ngày 5-5 Fed chính thức giảm lãi suất luôn, mà mới vào cái bị tâm lý cắt sớm đc 3 giá lại ko dám vào lại khi thị trường lên cao hơn, và có ít nhất 2 lần Short Stop ở 1397 và 1394 mà ko dám vào tuy xác định đúng điểm break; hôm nay đã kiếm đc 3M nên thôi đứng ngoài, nếu giảm thì ck cơ sở có giá thấp hơn để mua, còn nếu tăng thì có vị thế tốt hơn để vào SHORT, quan trọng là kiên nhẫn để chờ đợi cơ hội tốt nhất vào lệnh =&gt; hnay vào SHORT 2,3 lần và may mắn giật lên giật xuống đều chốt không bị lỗ</t>
  </si>
  <si>
    <t xml:space="preserve">- Không tham </t>
  </si>
  <si>
    <t>- Tìm khu vực cân bằng, và xu hướng chính của thị trường</t>
  </si>
  <si>
    <t>- Đặt lệnh stop chờ đợi</t>
  </si>
  <si>
    <t>Phong tỏa để khỏi táy máy tay chân 657,7M(271,7+386); bỏ lại vào PS 272M để short stop (ko sử dụng stop mà short liền là tiêu rồi-vì vừa mở cửa vn30 đc đẩy lên 1404); chiến thuật ngày 29-4 phiên cuối tháng là nên thận trọng để qua tháng rồi giao dịch, phái sinh chỉ nên giao dịch khối lượng 5 lots cho an toàn</t>
  </si>
  <si>
    <t>- Canh nếu khớp thì vào đặt chốt lời (2,3 giá)</t>
  </si>
  <si>
    <t>- Trường hợp lướt sóng mà vào lệnh khung 1' mà 2,3 cây ko đúng xu hướng có thể canh chốt sớm cho an toàn</t>
  </si>
  <si>
    <t>Ngày 29-4-22</t>
  </si>
  <si>
    <t>1 ngày thua lỗ ko quá lớn, đang sai nên tạm ngưng, sau khi quyết định cắt lỗ thị tt đã down xuống có lời luôn, thiệt là nhọ hết sức, cũng may là chưa máu me vào mua lại thì còn sai lầm nữa; nay t3 ngày mất hơn 6% về tài khoản, tính ra là sẽ khó lường, tạm thời đứng ngoài quan sát, sẽ có những rung lắc trong phiên, cơ hội cho lướt sóng theo chiến lược 5 giá/1 ngày =&gt; không tuân thủ xu hướng chính trong ngày nên chơi dao dễ đứt tay, thà vậy nên đứng ngoài hoặc đưa điểm stop ra xa xa 1 chút để tránh liếm mép</t>
  </si>
  <si>
    <t>Phong tỏa 667,123M đợi sau lễ tính tiếp; nhận về 667,468 =&gt; 345 tiền lãi (86k/ngày)</t>
  </si>
  <si>
    <t>Ngày 4-5-22</t>
  </si>
  <si>
    <t>Vào Short mà bị sai lệnh thành Long phải cắt lỗ 4,5 giá, Short ngay giá cắt lỗ và lời hơn 5 giá ko cắt(sau khi trừ cắt lỗ), tt quay ngược trở lại</t>
  </si>
  <si>
    <t>ATC 1383 (VN30 1389.59) Chốt 1387, đúng hồi về 1390 có đặt trước đúng mà hủy lệnh=&gt; kêu giữ mà ko giữ thành ra sai nên đứng ngoài mai tiếp tục vào mở vị thế giao dịch; Fed dự kiến tăng lãi suất ngày 5-5 (khả năng 95%); VN sẽ chịu nhiều áp lực từ thế giới và tình hình lạm phát tăng cao; dự kiến lệnh giữ dài kỳ vọng cuối tuần sẽ có lợi nhuận &gt;=50 giá nếu short đc giá tốt trên 1400 =&gt; giữ tới ngày mai hoặc tối thiểu là ATC</t>
  </si>
  <si>
    <t xml:space="preserve">Chiến thuật lướt sóng PS đối vs thị trường dao động mạnh </t>
  </si>
  <si>
    <t xml:space="preserve">Chiến thuật lướt sóng PS đối vs thị trường sideway </t>
  </si>
  <si>
    <t>H-L PS</t>
  </si>
  <si>
    <t>Tổng nhận 70k cho 667,2M; Phong tỏa 395,468M (Thực tế nhận 41k; dự kiến nhận đc 51k - có sẵn 555đ) + 271,8M (thực tế nhận 29k; dự kiến nhận đc 31k - có sẵn 23k)</t>
  </si>
  <si>
    <t>Ngày 5-5-22</t>
  </si>
  <si>
    <t>Tạm thời giao dịch nhỏ lại lấy thông số và bù đắp vào chi phí vay tiền 171M bên cơ sở mua ASM</t>
  </si>
  <si>
    <t>Quyết định rút hết PS ra ngưng giao dịch, Vào đúng giá cao nhất, và dòng thủy sản đi viện nên mất 9,7% trong 1 phiên; rất đau cho nhớ; Thêm 1 bài học xương máu nữa cho cách vào lệnh, full ATO giá cao sau đó bị bán tháo và không thể làm gì để sửa sai ngoài việc chờ đợi T3 về ko bị lỗ; vào lệnh 10' bị âm mất 3% &lt;=&gt; 26M</t>
  </si>
  <si>
    <t>Ngày 6-5-22</t>
  </si>
  <si>
    <t xml:space="preserve">Chốt phiên giá vàng, ko rơi trong khi tt đi nặng thì đã thành công =&gt; chờ T3 về xem sao; DJ sau phiên đêm 4-5 tăng gần 1k điểm thì đêm 5-5 giảm hơn 1k điểm, đảo ngược hoàn toàn phiên tăng trước đó, tình hình rất xấu cho lệnh ASM mới vào, giờ có 2 giải pháp, nếu T3 về chưa lỗ nhiều thì sẽ bán cắt lỗ, nếu lỗ quá nhiều thì có thể giữ lệnh để thành cổ đông dài hạn và xem thử khi nào về bờ đc, rồi chiến lược sẽ theo ASM và nâng tỷ trọng lên nuôi cho lớn thử thành 100k xem sao </t>
  </si>
  <si>
    <t>                           Cổ tức bằng Tiền, tỷ lệ 5%</t>
  </si>
  <si>
    <r>
      <t>- </t>
    </r>
    <r>
      <rPr>
        <b/>
        <sz val="8"/>
        <color rgb="FF343434"/>
        <rFont val="Tahoma"/>
        <family val="2"/>
      </rPr>
      <t>08/11/2018</t>
    </r>
    <r>
      <rPr>
        <sz val="8"/>
        <color rgb="FF343434"/>
        <rFont val="Tahoma"/>
        <family val="2"/>
      </rPr>
      <t>: Cổ tức bằng Cổ phiếu, tỷ lệ 100:9</t>
    </r>
  </si>
  <si>
    <t>                           Cổ tức bằng Tiền, tỷ lệ 11%</t>
  </si>
  <si>
    <r>
      <t>- </t>
    </r>
    <r>
      <rPr>
        <b/>
        <sz val="8"/>
        <color rgb="FF343434"/>
        <rFont val="Tahoma"/>
        <family val="2"/>
      </rPr>
      <t>14/12/2017</t>
    </r>
    <r>
      <rPr>
        <sz val="8"/>
        <color rgb="FF343434"/>
        <rFont val="Tahoma"/>
        <family val="2"/>
      </rPr>
      <t>: Cổ tức bằng Tiền, tỷ lệ 8%</t>
    </r>
  </si>
  <si>
    <r>
      <t>- </t>
    </r>
    <r>
      <rPr>
        <b/>
        <sz val="8"/>
        <color rgb="FF343434"/>
        <rFont val="Tahoma"/>
        <family val="2"/>
      </rPr>
      <t>11/12/2017</t>
    </r>
    <r>
      <rPr>
        <sz val="8"/>
        <color rgb="FF343434"/>
        <rFont val="Tahoma"/>
        <family val="2"/>
      </rPr>
      <t>: Cổ tức bằng Tiền, tỷ lệ 7%</t>
    </r>
  </si>
  <si>
    <r>
      <t>- </t>
    </r>
    <r>
      <rPr>
        <b/>
        <sz val="8"/>
        <color rgb="FF343434"/>
        <rFont val="Tahoma"/>
        <family val="2"/>
      </rPr>
      <t>27/01/2016</t>
    </r>
    <r>
      <rPr>
        <sz val="8"/>
        <color rgb="FF343434"/>
        <rFont val="Tahoma"/>
        <family val="2"/>
      </rPr>
      <t>: Bán ưu đãi, tỷ lệ 1:1, giá 10000 đ/cp</t>
    </r>
  </si>
  <si>
    <r>
      <t>- </t>
    </r>
    <r>
      <rPr>
        <b/>
        <sz val="8"/>
        <color rgb="FF343434"/>
        <rFont val="Tahoma"/>
        <family val="2"/>
      </rPr>
      <t>22/07/2015</t>
    </r>
    <r>
      <rPr>
        <sz val="8"/>
        <color rgb="FF343434"/>
        <rFont val="Tahoma"/>
        <family val="2"/>
      </rPr>
      <t>: Cổ tức bằng Cổ phiếu, tỷ lệ 100:15</t>
    </r>
  </si>
  <si>
    <r>
      <t>- </t>
    </r>
    <r>
      <rPr>
        <b/>
        <sz val="8"/>
        <color rgb="FF343434"/>
        <rFont val="Tahoma"/>
        <family val="2"/>
      </rPr>
      <t>27/11/2014</t>
    </r>
    <r>
      <rPr>
        <sz val="8"/>
        <color rgb="FF343434"/>
        <rFont val="Tahoma"/>
        <family val="2"/>
      </rPr>
      <t>: Bán ưu đãi, tỷ lệ 6:5, giá 10000 đ/cp</t>
    </r>
  </si>
  <si>
    <r>
      <t>- </t>
    </r>
    <r>
      <rPr>
        <b/>
        <sz val="8"/>
        <color rgb="FF004370"/>
        <rFont val="Tahoma"/>
        <family val="2"/>
      </rPr>
      <t>30/09/2014</t>
    </r>
    <r>
      <rPr>
        <sz val="8"/>
        <color rgb="FF004370"/>
        <rFont val="Tahoma"/>
        <family val="2"/>
      </rPr>
      <t>: Phát hành cho CBCNV 1,900,000</t>
    </r>
  </si>
  <si>
    <r>
      <t>- </t>
    </r>
    <r>
      <rPr>
        <b/>
        <sz val="8"/>
        <color rgb="FF343434"/>
        <rFont val="Tahoma"/>
        <family val="2"/>
      </rPr>
      <t>11/07/2014</t>
    </r>
    <r>
      <rPr>
        <sz val="8"/>
        <color rgb="FF343434"/>
        <rFont val="Tahoma"/>
        <family val="2"/>
      </rPr>
      <t>: Cổ tức bằng Tiền, tỷ lệ 10%</t>
    </r>
  </si>
  <si>
    <r>
      <t>- </t>
    </r>
    <r>
      <rPr>
        <b/>
        <sz val="8"/>
        <color rgb="FF343434"/>
        <rFont val="Tahoma"/>
        <family val="2"/>
      </rPr>
      <t>26/06/2012</t>
    </r>
    <r>
      <rPr>
        <sz val="8"/>
        <color rgb="FF343434"/>
        <rFont val="Tahoma"/>
        <family val="2"/>
      </rPr>
      <t>: Cổ tức bằng Tiền, tỷ lệ 10%</t>
    </r>
  </si>
  <si>
    <r>
      <t>- </t>
    </r>
    <r>
      <rPr>
        <b/>
        <sz val="8"/>
        <color rgb="FF343434"/>
        <rFont val="Tahoma"/>
        <family val="2"/>
      </rPr>
      <t>14/01/2022</t>
    </r>
    <r>
      <rPr>
        <sz val="8"/>
        <color rgb="FF343434"/>
        <rFont val="Tahoma"/>
        <family val="2"/>
      </rPr>
      <t>: Cổ tức bằng Cổ phiếu, tỷ lệ 100:30</t>
    </r>
  </si>
  <si>
    <r>
      <t>- </t>
    </r>
    <r>
      <rPr>
        <b/>
        <sz val="8"/>
        <color rgb="FF343434"/>
        <rFont val="Tahoma"/>
        <family val="2"/>
      </rPr>
      <t>19/03/2019</t>
    </r>
    <r>
      <rPr>
        <sz val="8"/>
        <color rgb="FF343434"/>
        <rFont val="Tahoma"/>
        <family val="2"/>
      </rPr>
      <t>: Cổ tức bằng Cổ phiếu, tỷ lệ 100:7</t>
    </r>
  </si>
  <si>
    <r>
      <t>- </t>
    </r>
    <r>
      <rPr>
        <b/>
        <sz val="8"/>
        <color rgb="FF343434"/>
        <rFont val="Tahoma"/>
        <family val="2"/>
      </rPr>
      <t>25/09/2017</t>
    </r>
    <r>
      <rPr>
        <sz val="8"/>
        <color rgb="FF343434"/>
        <rFont val="Tahoma"/>
        <family val="2"/>
      </rPr>
      <t>: Cổ tức bằng Cổ phiếu, tỷ lệ 100:10</t>
    </r>
  </si>
  <si>
    <r>
      <t>- </t>
    </r>
    <r>
      <rPr>
        <b/>
        <sz val="8"/>
        <color rgb="FF343434"/>
        <rFont val="Tahoma"/>
        <family val="2"/>
      </rPr>
      <t>31/07/2015</t>
    </r>
    <r>
      <rPr>
        <sz val="8"/>
        <color rgb="FF343434"/>
        <rFont val="Tahoma"/>
        <family val="2"/>
      </rPr>
      <t>: Bán ưu đãi, tỷ lệ 1:1, giá 10000 đ/cp</t>
    </r>
  </si>
  <si>
    <t>                           Cổ tức bằng Cổ phiếu, tỷ lệ 100:5</t>
  </si>
  <si>
    <r>
      <t>- </t>
    </r>
    <r>
      <rPr>
        <b/>
        <sz val="8"/>
        <color rgb="FF004370"/>
        <rFont val="Tahoma"/>
        <family val="2"/>
      </rPr>
      <t>24/11/2014</t>
    </r>
    <r>
      <rPr>
        <sz val="8"/>
        <color rgb="FF004370"/>
        <rFont val="Tahoma"/>
        <family val="2"/>
      </rPr>
      <t>: Phát hành cho CBCNV 2,384,172</t>
    </r>
  </si>
  <si>
    <r>
      <t>- </t>
    </r>
    <r>
      <rPr>
        <b/>
        <sz val="8"/>
        <color rgb="FF343434"/>
        <rFont val="Tahoma"/>
        <family val="2"/>
      </rPr>
      <t>18/09/2014</t>
    </r>
    <r>
      <rPr>
        <sz val="8"/>
        <color rgb="FF343434"/>
        <rFont val="Tahoma"/>
        <family val="2"/>
      </rPr>
      <t>: Bán ưu đãi, tỷ lệ 1:1, giá 10000 đ/cp</t>
    </r>
  </si>
  <si>
    <t>                           Thưởng bằng Cổ phiếu, tỷ lệ 100:20</t>
  </si>
  <si>
    <r>
      <t>- </t>
    </r>
    <r>
      <rPr>
        <b/>
        <sz val="8"/>
        <color rgb="FF343434"/>
        <rFont val="Tahoma"/>
        <family val="2"/>
      </rPr>
      <t>15/11/2013</t>
    </r>
    <r>
      <rPr>
        <sz val="8"/>
        <color rgb="FF343434"/>
        <rFont val="Tahoma"/>
        <family val="2"/>
      </rPr>
      <t>: Cổ tức bằng Cổ phiếu, tỷ lệ 5:1</t>
    </r>
  </si>
  <si>
    <r>
      <t>- </t>
    </r>
    <r>
      <rPr>
        <b/>
        <sz val="8"/>
        <color rgb="FF343434"/>
        <rFont val="Tahoma"/>
        <family val="2"/>
      </rPr>
      <t>10/08/2010</t>
    </r>
    <r>
      <rPr>
        <sz val="8"/>
        <color rgb="FF343434"/>
        <rFont val="Tahoma"/>
        <family val="2"/>
      </rPr>
      <t>: Cổ tức bằng Tiền, tỷ lệ 20%</t>
    </r>
  </si>
  <si>
    <r>
      <t>- </t>
    </r>
    <r>
      <rPr>
        <b/>
        <sz val="8"/>
        <color rgb="FFFF0000"/>
        <rFont val="Tahoma"/>
        <family val="2"/>
      </rPr>
      <t>29/10/2019</t>
    </r>
    <r>
      <rPr>
        <sz val="8"/>
        <color rgb="FFFF0000"/>
        <rFont val="Tahoma"/>
        <family val="2"/>
      </rPr>
      <t>: Cổ tức bằng Tiền, tỷ lệ 10%</t>
    </r>
  </si>
  <si>
    <r>
      <t>- </t>
    </r>
    <r>
      <rPr>
        <b/>
        <sz val="8"/>
        <color rgb="FFFF0000"/>
        <rFont val="Tahoma"/>
        <family val="2"/>
      </rPr>
      <t>25/10/2019</t>
    </r>
    <r>
      <rPr>
        <sz val="8"/>
        <color rgb="FFFF0000"/>
        <rFont val="Tahoma"/>
        <family val="2"/>
      </rPr>
      <t>: Cổ tức bằng Cổ phiếu, tỷ lệ 100:15</t>
    </r>
  </si>
  <si>
    <t>dự chia 2021 là 1,5k; dự chia tiền 2022 là 2-3k</t>
  </si>
  <si>
    <t>dự chia 2021 là 1,5k; dự chia tiền 2022 là 3k</t>
  </si>
  <si>
    <t>Chiến thuật giao dịch Phái sinh không bị ảnh hưởng tâm lý</t>
  </si>
  <si>
    <t xml:space="preserve">Hoàn toàn giao dịch bằng lệnh chờ </t>
  </si>
  <si>
    <t>Không xem giá và can thiệp lệnh trong phiên giao dịch</t>
  </si>
  <si>
    <t>Giao dịch lời mới nâng khối lượng dựa trên lợi nhuận tích lũy để phòng ngừa rủi ro - chậm 1 chút nhưng bền vững</t>
  </si>
  <si>
    <r>
      <rPr>
        <b/>
        <sz val="18"/>
        <color theme="0" tint="-0.34998626667073579"/>
        <rFont val="Calibri"/>
        <family val="2"/>
        <scheme val="minor"/>
      </rPr>
      <t xml:space="preserve">Nguyên tắc </t>
    </r>
    <r>
      <rPr>
        <b/>
        <sz val="18"/>
        <color theme="0" tint="-0.249977111117893"/>
        <rFont val="Calibri"/>
        <family val="2"/>
        <scheme val="minor"/>
      </rPr>
      <t>KHÔNG THAM - KHÔNG CỜ BẠC</t>
    </r>
    <r>
      <rPr>
        <b/>
        <sz val="18"/>
        <color theme="2" tint="-9.9978637043366805E-2"/>
        <rFont val="Calibri"/>
        <family val="2"/>
        <scheme val="minor"/>
      </rPr>
      <t xml:space="preserve"> </t>
    </r>
    <r>
      <rPr>
        <b/>
        <sz val="18"/>
        <color theme="0" tint="-0.34998626667073579"/>
        <rFont val="Calibri"/>
        <family val="2"/>
        <scheme val="minor"/>
      </rPr>
      <t>-</t>
    </r>
    <r>
      <rPr>
        <b/>
        <sz val="18"/>
        <color rgb="FFFFFF00"/>
        <rFont val="Calibri"/>
        <family val="2"/>
        <scheme val="minor"/>
      </rPr>
      <t xml:space="preserve"> </t>
    </r>
    <r>
      <rPr>
        <b/>
        <sz val="18"/>
        <color theme="0" tint="-0.249977111117893"/>
        <rFont val="Calibri"/>
        <family val="2"/>
        <scheme val="minor"/>
      </rPr>
      <t>TỰ ĐỘNG</t>
    </r>
    <r>
      <rPr>
        <b/>
        <sz val="18"/>
        <color rgb="FFFFFF00"/>
        <rFont val="Calibri"/>
        <family val="2"/>
        <scheme val="minor"/>
      </rPr>
      <t xml:space="preserve"> </t>
    </r>
    <r>
      <rPr>
        <b/>
        <sz val="18"/>
        <color theme="0" tint="-0.34998626667073579"/>
        <rFont val="Calibri"/>
        <family val="2"/>
        <scheme val="minor"/>
      </rPr>
      <t>-T5/2022</t>
    </r>
  </si>
  <si>
    <t>- Short khi giá lên vùng kháng cự, Long khi giá xuống vùng hỗ trợ =&gt; có tín hiệu đảo chiều</t>
  </si>
  <si>
    <t>thời gian dự kiến: Quý 2,3/22</t>
  </si>
  <si>
    <t>Tổng KL SSI</t>
  </si>
  <si>
    <t>Ngày 9-5-22</t>
  </si>
  <si>
    <t>Cắt mg để tài khoản an toàn trong giai đoạn này</t>
  </si>
  <si>
    <t>Mai quyết định cắt hết, giữ lại tiền để còn làm lại-sai lầm khi vào tbg phải đợi t3 mới cắt lỗ đc; Không kiềm chế đc nên đã mua giá sàn 17,85k kl 5k; tỉ lệ tk 112,35%; quyết giữ luôn và nuôi 1 em này (bán ký quỹ chỉ giữ lại gốc) ~30k</t>
  </si>
  <si>
    <t>Ngày 10-5-22</t>
  </si>
  <si>
    <t>Chấp nhận cắt lỗ, lại 1 bài học cần phải sửa; giữ và hy vọng ông Thuấn không bị bớ vì liên quan đến chuyện làm giá, hơi manh động khi ATO ít lệnh mua bán mà mình đẩy full lệnh 40k vào làm khớp giá cao nhất sau đó giảm mạnh về 20; 5-5 đã tới thời điểm mua lại; 25-4 ghi để theo dõi, canh mua lại sau tuần Fed tăng lãi suất</t>
  </si>
  <si>
    <t>Chính thức rút ra 50% không giao dịch nữa, Cắt hết vì quá rủi ro, có thể có pha hồi hơn giá mình bán nhưng tạm thấy ổn vs tài khoản 80% là tiền =&gt; nếu giá tăng thì căt quá sai vì kết thúc phiên 18,65k; =&gt; nên nghỉ là đúng rồi; không ổn tí nào =&gt; nhưng cũng không đc vào lại giai đoạn này vì rủi ro t3 =&gt; Pe chỉ chưa tới 10 mà còn nhát, và sắp trả cổ tức 1,5k &lt;=&gt; hơn 7% giá 20,5 mà nhát, phải trả giá thôi, không mua vào giá cao hơn giá bán cắt lỗ ngày hôm nay cho dù có thấy cơ hội ntn</t>
  </si>
  <si>
    <t>Ngày 11-5-22</t>
  </si>
  <si>
    <t>Cắt lỗ sai lầm nên giờ đành ngậm ngùi nhìn thị trường tăng, chiến thuật là đánh phái sinh kiếm tiền đều đặn hàng ngày, với chiến lược 2 giá và khối lượng ban đầu duy trì ổn định 5 lots =&gt; không phải vội, còn nửa năm để làm lại (6 tháng &lt;=&gt; 120 phiên)</t>
  </si>
  <si>
    <t>Vị thế đóng</t>
  </si>
  <si>
    <t>Ngày 12-5-22</t>
  </si>
  <si>
    <t>2 lệnh S 1327,9,1220; vào sai điểm break out, đúng xu hướng giảm nên có thể giữ lệnh để mong hòa (đã cắt lời nhẹ); canh vòng mới làm lại, chỉ canh short; short giá quá thấp lại sai điểm break, thật ra là short đúng điểm break mà coi giá ngay thời điểm đó nó chưa chạy liền</t>
  </si>
  <si>
    <t>Đánh phái sinh 270M vs khối lượng 10 lots =&gt; chỉ nên đánh khối lượng 5 lots để hạn chế rủi ro và ổn định trong giao dịch =&gt; hôm nay chốt đc 1,5m tuy ko đạt so với kl 10 lots nhưng tạm nghỉ để hoạch định lại chiến lược đầu tư trong giai đoạn này =&gt; gởi 319,229m(34k)</t>
  </si>
  <si>
    <t>1 lệnh L 1276, Long theo xu hướng của châu á đầu ngày; xong cho ngày hôm nay</t>
  </si>
  <si>
    <t xml:space="preserve">Ngày 13-5-22 </t>
  </si>
  <si>
    <t>nhốt 320,502M + 141M qua tuần; lại tiếp tục là 1 phiên rũ bỏ của tt giảm hơn 4% =&gt; quá kinh khủng</t>
  </si>
  <si>
    <t>Ngày 14-5-22</t>
  </si>
  <si>
    <t xml:space="preserve">Xmen thua lỗ hơn 600M thời điểm hiện tại, đang cắt lỗ chấp nhận thua và tâm lý không muốn giao dịch trên tt, lần nào mình lỗ nặng cũng đều có tâm lý như vậy, đó là sự không ổn định và rủi ro của việc đầu tư tài chính như đánh bạc, tâm lý này nhanh chóng biến mất khi kiếm đc tiền và dễ xảy ra tâm lý chiến thắng quên đi bài học thua lỗ, lúc nào cũng phải nhắc nhớ về từng bài học mà mình đã trải qua, dằn vặt, đau đớn khi mất tiền, để đến khi được tiền thì cũng không nên tự kiêu và máu me nghĩ là sẽ kiếm đc nhiều tiền hơn vs mức độ cược ngày càng lớn, nên biết dừng và lấy lại cân bằng cũng như nhìn nhận tt 1 cách khách quan để tìm kiếm cơ hội tốt </t>
  </si>
  <si>
    <t>Ngày 16-5-22</t>
  </si>
  <si>
    <t>4 lệnh S 1259, S STOP 1248 mà vào lệnh sớm 1248,2 bị dính cắt lỗ; L STOP 1244 đúng mà cắt hòa sớm, giữ thì đã chốt đúng giá TP 1252,3 =&gt; ngưng giao dịch buổi sáng - không làm đc =&gt; 4 lệnh nghỉ, lệnh cuối đã được 7 giá mà không chốt để hồi lên 55, còn 4 giá, tính toán và không chốt khả năng chút nữa hòa, đành chịu vậy =&gt; may mắn chốt đc lời 2M đủ target cho ngày hôm nay, tạm ngưng để mai làm tiếp</t>
  </si>
  <si>
    <t>TT tiếp tục có 1 phiên đỏ lửa, tuy chỉ số giảm gần 1% nhưng nhiều cp mình theo dõi lại tiếp tục giảm sàn, đặc biệt dòng thủy sản tiếp tục sàn hàng loạt, ASM chốt phiên 14,85k; tiếp tục theo dõi và có thể canh mua vào 10k đến 20k khi giá về 13k; Chiến lược chỉ giao dịch 5 lót bên PS và phong tỏa 425,247m(45k) bên cơ sở, vì đây cũng chưa phải là thời điểm tốt, cho dù có hồi thì cũng chỉ là ngắn hạn</t>
  </si>
  <si>
    <t>Ngày 17-5-22</t>
  </si>
  <si>
    <t xml:space="preserve">ATO đã thấy sai do ck cơ sở mở cửa ra đã giảm mạnh, chắc do ảnh hưởng tâm lý của việc BTC sẽ thanh kiểm tra các công ty ck, may mắn là đã thoát lệnh sau khi thấy cơ sở đang âm mạnh; Dự đoán hôm nay VN30 sẽ sideway theo hướng giữ giá và hồi phục 1 chút sau 3 phiên giảm, nên có thể canh nhịp hồi sẽ an toàn hơn lệnh Short lúc này, tuy nhiên Long cũng chỉ để ăn ngắn </t>
  </si>
  <si>
    <t>3 lệnh L 1223 chốt sớm ko theo tp(hơi cao ko khớp lần đầu), L 1219, S STOP 1210 TP 1203,6; short không break đc mà còn định giết short, do tt không chạy nên thoát ra ngoài đứng quan sát tiếp, tại tham chứ chốt 5 giá là tp rồi; xu hướng vẫn là Short</t>
  </si>
  <si>
    <t>Ngày 18-5-22</t>
  </si>
  <si>
    <t>Phong tỏa 425,291m(+44k); TT tăng mạnh mẽ hơn 5%, rất nhiều mã tăng trần, mai lai phải đua lệnh ASM, full mg ah =&gt; với điều kiện tối nay fed speak không có gì bất ngờ thì có thể vào bắt, tuy mất 2 cây sàn nhưng như vậy an toàn cho tài khoản hơn</t>
  </si>
  <si>
    <t>Tạm đóng không coi giá trong giờ làm và tài khoản tới thứ 2 tuần sau, Ngu học vì mua full lệnh mp, giá trung bình cao sau đó giá giảm lại liền, Mỹ đã có phiên hồi phục hơn 1%, tuy chưa chắc sẽ không còn giảm nhưng tuần này ít tin kinh tế Mỹ nên quyết định full margin ASM (46k) cho con sóng hồi này, thứ 2 ck về thì cũng dễ xử lý, nếu còn giảm mạnh nữa thì chấp nhận cắt margin và giữ đầu tư dài hạn hưởng cổ tức luôn</t>
  </si>
  <si>
    <t>Ngày 19-5-22</t>
  </si>
  <si>
    <t>Chiến lược là giữ lại 40k cp nắm dài hạn khi giá về 14k; bán 7k giá 14k = 98M, trả nợ 216M còn nợ 118m; cổ tức 40k 1,5k đc 60M, còn lại phải xoay 58M</t>
  </si>
  <si>
    <t>Ngày 20-5-22</t>
  </si>
  <si>
    <t>DJ lại tiếp tục 1 phiên giảm nhẹ gần 1% sau phiên trước giảm 3,5% nhưng không hiểu sao VN Index lại trụ được, đó là 1 bất ngờ may mắn; chốt phiên ASM đóng cửa tại 16,3 (+0,15)</t>
  </si>
  <si>
    <t>Ngày 23-5-22</t>
  </si>
  <si>
    <t>CK về tk, giá có lúc đã đụng trần và đóng cửa tại 16,9k tăng 0,6(3,7%), hnay tt giảm mạnh gần 2% nhưng mã IDI là mã duy nhất trần =&gt; quyết định giữ lại để tìm hiểu nguyên nhân tại sao hnay IDI mạnh vậy(dòng thủy sản mạnh mà ko có mã nào trần) =&gt; có thể là rò rỉ thông tin chia cổ tức bằng tiền (còn triển vọng dòng thủy sản thì khả năng là nhiều mã ts sẽ trần)</t>
  </si>
  <si>
    <t>Ngày 24-5-22</t>
  </si>
  <si>
    <t>Chốt hết vì cảm thấy rủi ro do thị trường châu á tự nhiên giảm mạnh và khuya thứ 5 sẽ có thêm cuộc họp FOMC; ngày 18-5 vào lệnh sau khi tt có cây test hỗ trợ 14.1 thành công, nhưng phiên hôm sau lại không như kỳ vọngDự tính vào để nắm giữ suốt năm 2022, và khả năng đầu tư dài hạn nhận cổ tức và kỳ vọng giá tăng;Chốt giá hơi thấp so vs phiên sáng nhưng vậy cho an toàn, hạ tỷ trọng margin; Xử lý khi giá biến động bất lợi, kịch bản hành động, cắt lỗ 7k CP khi giá về 14 để giảm margin</t>
  </si>
  <si>
    <t>quyết định tạm thời đứng ngoài phần lớn vốn, chỉ giữ 130M đánh phái sinh kiếm tiền ít mà ổn định coi thử đc không; tạm 30' mất hơn 21M =&gt; theo dõi tt thế giới dễ chịu ảnh hưởng bởi biến động trong phiên, khả năng cao cắt bị lỗi khi đóng cửa, Vì tt châu á bất ngờ giảm mạnh hơn 2% và future Mỹ đang giảm gần 1%, cũng như thứ 5 FOMC họp nên có rủi ro do thế giới =&gt; quyết định chốt hết để bảo toàn vốn, và đã có lời so với thứ 5 tuần trước còn đang rất bi quan; Chốt trước 7k hạ tỷ trọng margin cho an toàn, còn lại có thể giữ tới lúc ra tin BCTC Quý 2 vs tin chia cổ tức tiền, có thể nắm giữ lâu dài</t>
  </si>
  <si>
    <t>FPT</t>
  </si>
  <si>
    <t>GAS</t>
  </si>
  <si>
    <t>GVR</t>
  </si>
  <si>
    <t>HPG</t>
  </si>
  <si>
    <t>KDH</t>
  </si>
  <si>
    <t>MSN</t>
  </si>
  <si>
    <t>MWG</t>
  </si>
  <si>
    <t>NVL</t>
  </si>
  <si>
    <t>PDR</t>
  </si>
  <si>
    <t>PLX</t>
  </si>
  <si>
    <t>PNJ</t>
  </si>
  <si>
    <t>POW</t>
  </si>
  <si>
    <t>SAB</t>
  </si>
  <si>
    <t>VHM</t>
  </si>
  <si>
    <t>VIC</t>
  </si>
  <si>
    <t>VJC</t>
  </si>
  <si>
    <t>VNM</t>
  </si>
  <si>
    <t>VRE</t>
  </si>
  <si>
    <t>Theo quy định, vào ngày thứ hai của tuần thứ tư tháng 1 và tháng 7 hàng năm, HSX sẽ thực hiện đổi rổ cổ phiếu của chỉ số VN30-Index.</t>
  </si>
  <si>
    <t>Tài chính</t>
  </si>
  <si>
    <t>BĐS</t>
  </si>
  <si>
    <t>CTCP Vincom Retail</t>
  </si>
  <si>
    <t>CTCP Sữa Việt Nam</t>
  </si>
  <si>
    <t>CTCP Hàng Không VIETJET</t>
  </si>
  <si>
    <t>NHTM CP Việt Nam Thịnh Vượng</t>
  </si>
  <si>
    <t>Tập đoàn Vingroup - CTCP</t>
  </si>
  <si>
    <t>CTCP Vinhomes</t>
  </si>
  <si>
    <t>NH TMCP Ngoại Thương Việt Nam</t>
  </si>
  <si>
    <t>NHTM CP Tiên Phong</t>
  </si>
  <si>
    <t>NHTM CP Kỹ Thương Việt Nam</t>
  </si>
  <si>
    <t>NH TMCP Sài Gòn Thương Tín</t>
  </si>
  <si>
    <t>CTCP Chứng Khoán SSI</t>
  </si>
  <si>
    <t>Tổng CTCP Bia-Rượu-Nước giải khát Sài Gòn</t>
  </si>
  <si>
    <t>Tổng Cty Điện lực Dầu khí Việt Nam - CTCP</t>
  </si>
  <si>
    <t>CTCP Vàng Bạc Đá quý Phú Nhuận</t>
  </si>
  <si>
    <t>Tập đoàn Xăng dầu Việt Nam</t>
  </si>
  <si>
    <t>CTCP Phát triển Bất động sản Phát Đạt</t>
  </si>
  <si>
    <t>CTCP Tập đoàn Đầu tư Địa ốc No Va</t>
  </si>
  <si>
    <t>CTCP Đầu tư Thế giới Di động</t>
  </si>
  <si>
    <t>CTCP Tập đoàn Masan</t>
  </si>
  <si>
    <t>NHTM CP Quân đội</t>
  </si>
  <si>
    <t>CTCP đầu tư và kinh doanh nhà Khang Điền</t>
  </si>
  <si>
    <t>CTCP Tập đoàn Hòa Phát</t>
  </si>
  <si>
    <t>NHTM CP Phát triển thành phố Hồ Chí Minh</t>
  </si>
  <si>
    <t>Tập đoàn công nghiệp cao su Việt Nam - CTCP</t>
  </si>
  <si>
    <t>Tổng Cty Khí Việt Nam - CTCP</t>
  </si>
  <si>
    <t>CTCP FPT</t>
  </si>
  <si>
    <t>NHTM CP Công thương Việt Nam</t>
  </si>
  <si>
    <t>Tập đoàn Bảo Việt</t>
  </si>
  <si>
    <t>NH TMCP Đầu tư và Phát triển Việt Nam</t>
  </si>
  <si>
    <t>NHTM CP Á Châu</t>
  </si>
  <si>
    <t xml:space="preserve">Tên </t>
  </si>
  <si>
    <t>2 lệnh S 1300, đụng cản trên BB H1, nghỉ ngơi thôi, đừng ham quá Trung ơi, hoàn thành kế hoạch ngày rồi</t>
  </si>
  <si>
    <t>Ngày 26-5-22</t>
  </si>
  <si>
    <t xml:space="preserve">Tham nên khi lợi nhuận 1 lệnh gần 3tr lại không chốt cuối cùng chốt hơn 1tr, bài học tiếp tục phải trả, cố gắng ko tham, lâu lâu 1 lần thì đc =&gt; hôm nay cảm thấy khó và để tận dụng cơ hội có Short Stop 1 lệnh phía dưới nếu có lỡ đi lên thì khả năng cắt lỗ do dính lệnh cũng thấp =&gt; lợi nhuận thì có thể tham để tới ngày mai =&gt; cũng không nên tham, nghỉ ngơi ở đây </t>
  </si>
  <si>
    <t>4 lệnh S 1302, SS 1297,S 1301 tuy tối qua Mỹ tăng 200đ nhưng sáng nay cá có vẻ điều chỉnh và sau 2 phiên tăng nóng mình nghĩ hnay sẽ là 1 phiên điều chỉnh khi đa số kỳ vọng tăng tiếp, do đó đã vào S từ ATO, giống hình thức giữ lệnh S qua đêm của hôm qua =&gt; nếu sai thì chỉ 1 lệnh này thôi, ko nên vào thêm lệnh gỡ, chấp nhận sai 30 giá &lt;=&gt; 15,15tr ; giữ lại lệnh S 1302 vì nhận thấy tt có điểm hồi nên bán và bán cao hơn; chấp nhận thoát vì sai là tham ko chốt trước theo target ngày, sau đó giá tăng lên 1307 cảm thấy ko an toàn nên chấp nhận cắt để đợi tín hiệu xác nhận vào lại S 1297 SL 1307 rủi ro 5tr mà độ an toàn lại cao hơn hẳn =&gt; nghỉ cho hôm nay</t>
  </si>
  <si>
    <t>Thực hành nguyên tắc cơ bản (MUA khi ĐỎ - BÁN Khi XANH) -T4/2020; SL &lt;= 10%</t>
  </si>
  <si>
    <t>787204786P-676209387-10%GiaoDichAT$-VL$CThan247#-THU#32VAsai$</t>
  </si>
  <si>
    <t>Phong tỏa 442,854,600 (67k)</t>
  </si>
  <si>
    <t>Ngày 27-5-22</t>
  </si>
  <si>
    <t>Phong tỏa luôn 125M bên PS vì hôm nay là thứ 6 cuối tuần và để ko phải giao dịch vì đủ target cho ngày hôm nay, ko tham; Phong tỏa 428,842M; Quyết định vào lệnh nhỏ 2k ném đá thăm dò, lời ít mà lỗ cũng ít cho an toàn, t3 lời lỗ gì cũng chốt!?, Sau 25' giao dịch thấy tt giằng co, khả năng thiên kiến là cuối phiên sẽ xanh tím theo cá và mỹ; Sau 3 ngày tăng điểm DJ đã lấy lại mốc giá trước khi có cú sập 3% trước đó, làm đảo lộn mọi tính toán và nhận định của mình, thật sự khó khăn trong giai đoạn hiện nay khi phải đưa ra quyết định giữ tiền hay là vào lệnh, hôm nay Hangseng mở cửa tăng 3%, shanghai cũng tăng 0,65% ps mở cửa cũng mở gap tăng hơn 5 điểm, hôm nay dễ fomo theo mà mua full thì nguy hiểm vì hôm nay hàng t3 giá rẻ về tk, cũng như 2 ngày cuối tuần, ngày 16-6-22 FOMC sẽ họp và thông báo lãi suất (1 ngày quan trọng để theo dõi và đánh giá tác động của nó đối với tt)</t>
  </si>
  <si>
    <t xml:space="preserve">3 lệnh L 1306,L 1312,L 1315,7, lại chốt sớm, tt lình xình nên chốt sớm mà ai dè 3' sau tt lại chạy lên luôn, mất 1 giá, tìm cơ hội khác vậy =&gt; xong cho ngày hôm nay; lại cắt sớm ko thôi lại lời thêm 2 giá =&gt; kiên định và lạnh lùng hơn 1 chút để khỏi phải vào nhiều lệnh mất phí + thuế cao </t>
  </si>
  <si>
    <t>Ngày 20-6-22</t>
  </si>
  <si>
    <t>Ngày 16-6-22</t>
  </si>
  <si>
    <t>Total Value</t>
  </si>
  <si>
    <t>Xác định đúng xu hướng và điểm vào thì chỉ cần 1 lệnh có thể hoàn thành vượt chỉ tiêu đặt ra trong ngày mà ko tốn quá nhiều công sức cũng như phí thuế; đôi lúc thì chốt sớm 3-5' sau khi vào lệnh cũng có cái hay, thôi thì tùy co mà ứng biến, nhưng cũng phải tập cho tinh thần và trái tim khỏe hơn không để đâu tim và nhức não</t>
  </si>
  <si>
    <t>Ngày 28-5-22</t>
  </si>
  <si>
    <t>Đêm thứ 6 DJ lại tăng hơn 2% lại trên mức trước khi sụt giảm, việc tăng lãi suất ảnh hưởng mà không ảnh hưởng, thời điểm thị trường nhạy cảm, dòng tiền vào chứng vẫn chỉ mức 15k tỷ/phiên, chưa thật sự trở lại đỉnh cao, nhưng VN index đã có 4 phiên tăng điểm liên tiếp, lại dễ fomo khi tt tăng điểm mà 90% là tiền mặt, =&gt; dần hình thành đc chiến lược giao dịch và định hướng trong đầu tư</t>
  </si>
  <si>
    <t>Ngày 30-5-22</t>
  </si>
  <si>
    <t>RR</t>
  </si>
  <si>
    <t>Đã manh nha vào thêm lệnh HCM, suốt phiên giá cao, đóng cửa tại tham chiếu, cũng may vì LONG hết nên kiềm chế ko Mua HCM, hnay mua thì T3 về nguy hiểm</t>
  </si>
  <si>
    <t>Hơi máu với nhận định tt tăng giá mạnh trong phiên hôm nay, dù ATO mở gap khá lớn nhưng vẫn vào mua ATO và còn mua thêm 5 HĐ khi giá mới vừa giảm nhẹ, để rồi sau đó giá giảm mạnh, tiếp tục bơm máu vào và mua 5HĐ ở giá 1325,2, TBG xuống còn 28 từ đỉnh 29,7 ATO =&gt; tới đây là đã khô máu với TT và sẽ không có bước leo thang nào nữa =&gt; có thể là 1 ngày giết SHORT và chấp nhận giữ lệnh tới hết phiên, lỗ tối đa trong đầu là 30 giá &lt;=&gt; 45tr, 1328 xuống còn 1300 =&gt; tiếp tục khô máu với tt khi mua vào thêm 5HĐ khi giá test không thủng 1320 và bật lên 1322,2 =&gt; chốt phiên sáng 1323,7; chốt ngày tại 1325,6 lỗ 2M tính cả phí và thuế; và còn giữ lệnh qua đêm vì Cơ sở VN30 chốt giá cao nhất ngày tại 1342,87, hy vọng tối nay thành viên FOMC phát biểu không tác động xấu tới thị trường Mỹ, cơ sở và ps đang cách nhau 17 giá</t>
  </si>
  <si>
    <t xml:space="preserve">1 lệnh L 1328, sai vì tăng khối lượng, có cơ hội thoát lệnh mà vẫn kỳ vọng, chấp nhận lỗ ~17 giá và chấp nhận làm lại; vẫn giữ lệnh tới hôm sau và đang lỗ 1,39M; tham nên không chốt hoặc dời lệnh về huề vốn khi TT tăng giá; ôm rủi ro sang ngày hôm sau với khối lượng quá lớn khi còn đang âm =&gt; 1 ngày phá vỡ hơi nhiều nguyên tắc =&gt; vẫn còn tính chất hên xui và nhận định chủ quan duy ý chí trong đầu tư </t>
  </si>
  <si>
    <t>TẠM NGHỈ; Sáng ra có cơ hội chốt hòa mà lại đi từ bỏ, để rồi phải cắt lỗ</t>
  </si>
  <si>
    <t>Ngày 31-5-22</t>
  </si>
  <si>
    <t>Cắt lỗ 20HĐ và phong tỏa 508,023M; tạm nghỉ</t>
  </si>
  <si>
    <t>Ngày 1-6-22</t>
  </si>
  <si>
    <t xml:space="preserve">Bắt đầu làm lại, tiếp tục vượt qua bản ngã của mình mà đứng vững vàng trên con đường đi tới tự do tài chính, </t>
  </si>
  <si>
    <t>1 lệnh SS 1332;</t>
  </si>
  <si>
    <t>chốt xong tiếp tục tăng lên giá mua 24,2; chuyển lại dòng chứng với kỳ vọng thị trường thăng hạng và giao dịch T0 vào cuối năm 2022</t>
  </si>
  <si>
    <t>Ngày 2-6-22</t>
  </si>
  <si>
    <t>2 lệnh S 1327,S1325,7 (sai vì vẫn đang sideway chưa break ra khỏi); chấp nhận rủi ro 10 giá &lt;=&gt; 5tr cho lệnh thứ 2 này =&gt; chốt đc lệnh, nghỉ ngơi thôi, đừng máu T ơi, cứ ổn định 1 tháng ntn thì tháng sau sẽ nâng khối lượng lên gấp đôi</t>
  </si>
  <si>
    <t xml:space="preserve">đạt tới 2 lệnh cho ngày hôm nay, mà nhìn thị trường thật sự muốn nuôi 1 lệnh tới hết phiên </t>
  </si>
  <si>
    <t>tổng năm</t>
  </si>
  <si>
    <t>Tháng 5-22</t>
  </si>
  <si>
    <t>Tháng 6-22</t>
  </si>
  <si>
    <t>Phong tỏa 382,225,500 (54k)</t>
  </si>
  <si>
    <t>Phong tỏa 377,370 (~52-54k)</t>
  </si>
  <si>
    <t>Ngày 3-6-22</t>
  </si>
  <si>
    <t>1 lệnh L 1317,2; thả Stop loss là quyết định may mắn vì sau khi thoát đc lệnh SL thì đã quay đầu chốt lời đc 2 giá</t>
  </si>
  <si>
    <t xml:space="preserve">May mắn vì chốt được 2 giá mà không bị cắt lỗ 10 giá =&gt; hết 1 tuần giao dịch, nghỉ ngơi để tuần sau tiếp tục chiến đấu làm sao cho ít rủi ro nhất có thể và đạt được TP ổn địn; Vì tối qua DJ tăng hơn 1% nên sáng nay khả năng Vn30 sẽ sideway nên chọn phương án là Long và chốt đúng mục tiêu ngày </t>
  </si>
  <si>
    <t>Phong tỏa 509,265,117 (~dự 3 ngày được 215k - thực tế 158k); đợi chờ sau ngày 16-6 và hết tuần, sau đó sẽ quyết định chiến lược mua và nắm giữ, quan trọng nhất là chọn đúng thời điểm và cổ phiếu</t>
  </si>
  <si>
    <t>Ngày 6-6-22</t>
  </si>
  <si>
    <t>1 lệnh S 1321, vì thị trường giai đoạn này dễ giảm mạnh (áp lực tăng lãi suất do lạm phát cao) nên vẫn giữ lệnh Short đc, tốt nhất không tăng khối lượng cho dù có thấy Short đẹp hơn lệnh trước hoặc tbg; sau khi lên 1331 thì quay đầu giảm và chốt lời đc 2 giá</t>
  </si>
  <si>
    <t>SHORT =&gt; 2 ngày liên tiếp xác định sai và đợi quay đầu mới chốt lời đc</t>
  </si>
  <si>
    <t>Ngày 7-6-22</t>
  </si>
  <si>
    <t>???</t>
  </si>
  <si>
    <t xml:space="preserve">2 lệnh L 1303, S1298, vì không chắc nên vào khối lượng nhỏ và cắt sớm, hòa nên nghỉ ngơi </t>
  </si>
  <si>
    <t>thứ nhất là bận ko tập trung trade, thứ 2 là không rõ xu hướng, khó break nên cũng ko chắc chắn và an tâm khi giao dịch, đó là lý do vào nhỏ thăm dò tt và có cơ hội thì thoát ra hòa vốn</t>
  </si>
  <si>
    <t>Ngày 8-6-22</t>
  </si>
  <si>
    <t>Phong tỏa 432,407,800 (~44,8k)</t>
  </si>
  <si>
    <t>Phong tỏa 432,318,321 (~44k)</t>
  </si>
  <si>
    <t>2 lệnh L 1322, S 1338; Long chốt sớm trước khi chạy=&gt; sai lầm tâm lý, Short chốt ngắn là đúng vì ngược xu hướng</t>
  </si>
  <si>
    <t xml:space="preserve">giá lên 1338 rất muốn short mà lại nhát tay, nghỉ ngơi thôi, đã đủ target cho ngày hôm nay rồi =&gt; ko tham </t>
  </si>
  <si>
    <t>Phong tỏa 433,407,800 (dự ~47,2k thực tế nhận 44,9k) =&gt; thị trường tiếp tục tăng tốt, nhưng rủi ro tiềm ẩn từ fed tăng lãi suất vẫn còn đó, nên cứ bình tĩnh mà chờ đợi, chọn lựa cơ hội cho rõ ràng và an toàn</t>
  </si>
  <si>
    <t>Ngày 9-6-22</t>
  </si>
  <si>
    <t>Sideway</t>
  </si>
  <si>
    <t>Phải xem lại tâm lý giao dịch, cứ bị chi phối, lỗ thì tính giữ và lời nhiều thì tham, bật lại thì cắt =&gt; rất dễ bị máu và giữ lệnh ko nên giữ, cắt lệnh ko nên cắt, nhiều lần vậy s sinh ra tâm lý đánh bạc, full =&gt; nên có nhận định rõ ràng, vào lệnh có kế hoạch</t>
  </si>
  <si>
    <t>2 lệnh S 1332,5, SS1332.2; có thể nuôi lệnh lên vùng cao và trung bình giá thêm 1 lần nữa ở 1350, quả là nhát, lỗ thì giữ đc, lời chưa đc bao nhiêu thì cắt mất rồi, ngưng cho hôm nay; =&gt; giá lại lên cao có thể canh cao chiều short vùng 40 đc, 1 lệnh 1HĐ vào cho dzui lời đc hơn 50k (1 ngày lãi của hơn 500M)</t>
  </si>
  <si>
    <t>2 lệnh S 1328, hủy vì cá đang xanh và lệnh cũng đã lâu chưa chạy và sau khi hủy lệnh lỗ thì nó đã chạy đúng để thoát</t>
  </si>
  <si>
    <t>Ngày 10-6-22</t>
  </si>
  <si>
    <t>Thấy tình hình châu âu và mỹ giảm mạnh đêm qua nên double khối lượng, nhưng tt chạy ko đúng như kỳ vọng nên thoát ra đứng ngoài cho an toàn, hoặc đợi giao dịch 5 hđ để hoàn thành chỉ tiêu ngày, ko đôn trong hnay nữa =&gt; sau 2h thị trường đã có 1 pha đổ đèo mạnh mẽ VNI lại phá thủng 1300 mốc cản tâm lý, PS chốt ngày tại giá thấp nhất ngày 1311,1 nhận định đúng mà ko kiên định với nó cũng là 1 thất bại, lỳ khi sai cũng là 1 thất bại</t>
  </si>
  <si>
    <t>Chênh lệch TT</t>
  </si>
  <si>
    <t>Phong tỏa 434,752,700 (45k)</t>
  </si>
  <si>
    <t xml:space="preserve">Phong tỏa 562,187,700 (dự 168k-thực tế 174,7) =&gt; mất gần 17M vì không giữ lệnh SHORT 1328 (còn có cơ hội SHORT cao hơn tại 1331) =&gt; khả năng thứ 2 sẽ có GAP giảm hơn 10 giá nữa </t>
  </si>
  <si>
    <t>Ngày 13-6-22</t>
  </si>
  <si>
    <t>4 lệnh S 1286,5, S 1279, S 1269, S 1273; nên giảm khối lượng và đừng tham cho an toàn =&gt; có thể ngưng giao dịch để  bình tâm lại phân tích và đợi cơ hội tốt hơn =&gt; nên nghỉ sau khi thoát lỗ lệnh 10 Hđ vừa rồi</t>
  </si>
  <si>
    <t>Phong tỏa 437,362,400 (dự 45k-thực tế)</t>
  </si>
  <si>
    <t>Mở cửa vn30 giảm hơn 2% (PS giảm 27 điểm) =&gt; dễ cuốn theo thị trường, nên đã rút tiền ra chỉ giữ lại khối lượng 5 HĐ =&gt; làm 1 lệnh 9 giá, nghỉ ngơi thôi =&gt; đáng ra phải giữ lệnh qua đêm để ăn được GAP giảm do tâm lý bi quan và thị trường châu Âu Mỹ dự báo giảm mạnh 2%</t>
  </si>
  <si>
    <t>Ngày 14-6-22</t>
  </si>
  <si>
    <t>Tối qua tiếp tục là 1 phiên giảm mạnh gần 3% của DJ và gần 2% của Anh, sáng nay mở cửa thì châu á đang đỏ nhưng đã hãm đà giảm hơn hôm qua hơn 3% =&gt; giữ lệnh 5hđ này tới hết ngày nhé</t>
  </si>
  <si>
    <t xml:space="preserve">4 lệnh S 1253,3, S 1257,4,S 1264 ;Thấy rủi ro hồi nên cắt sớm chấp nhận lỗ ít để bảo toàn vốn và có vị thế tốt hơn =&gt; có thể sai tạm thời, nhưng nuôi lệnh qua ngày =&gt; quá sai =&gt; cắt lỗ </t>
  </si>
  <si>
    <t>Phong tỏa 320,207,600 (+33k)</t>
  </si>
  <si>
    <t>6 lệnh S 1268,3 ;Vào Short 5HĐ để qua đêm, tình hình đầu phiên không thuận lợi nên đã cắt lỗ ít vì có dấu hiệu sẽ tăng và thời gian giằng co lâu nên đưa về tỷ lệ 5-5, sau đó VN30 tăng mà ps lại giảm liền sau đó tăng lên lại =&gt; thôi nghỉ vì đủ cho target hôm nay</t>
  </si>
  <si>
    <t>Ngày 15-6-22</t>
  </si>
  <si>
    <t>Nên tuân thủ nguyên tắc khối lượng để đảm bảo tính nhất quán trong đầu tư, cứ lúc nào cũng thấy cơ hội và tăng khối lượng để đánh dài mà cứ giao dịch lướt sóng và bị ảnh hưởng tâm lý thì khó mà bền vững được =&gt; phút cuối đu theo vô lộn lệnh tùm lum =&gt; cũng may là chốt được ATC, giữ lại 1 HĐ chờ tối nay Fed tăng lãi suất</t>
  </si>
  <si>
    <t>Giữ 1 HĐ qua đêm mà thất bại, lỗ gần 2M, bằng thành quả hôm qua cày kéo gần chục lệnh =&gt; hôm nay đánh nhỏ 1HĐ để cày kéo gỡ lại, vì hôm nay đáo hạn nên tất cả phân tích ko có tác dụng, cờ bạc nhỏ thôi (2HĐ)</t>
  </si>
  <si>
    <t>2 lệnh nhỏ 1HĐ, thấy sai nên cắt hết, thứ 2 tuần sau làm lại</t>
  </si>
  <si>
    <t>Ngày 16-6-2022</t>
  </si>
  <si>
    <t>Bắt đầu học code lại, python và SQL là 2 món để nhập môn Data Scientist, data analyst, học máy và ...</t>
  </si>
  <si>
    <t>Chuyển hướng về đầu tư và lập trình (nắm bắt và sống cùng công nghệ, ứng dụng vào cuộc sống và công việc)</t>
  </si>
  <si>
    <t>Fed công bố lãi suất - tăng 0,75% so với mức 0,5% dự báo trước đó - do chỉ số CPI cao bất thường trước đó, nên để kiềm chế lạm phát, Fed nâng ls kỷ lục</t>
  </si>
  <si>
    <t xml:space="preserve">Phong tỏa 569,561,800 (dự 58,5k - thực tế 59k) </t>
  </si>
  <si>
    <t>Ngày 17-6-22</t>
  </si>
  <si>
    <t>Cơ hội cho SHORT nên tận dụng, vì Fed tăng lãi suất, tối qua chứng khoán âu mỹ giảm mạnh, DJ phá thủng cản mạnh 30k, dự là hnay vni sẽ thủng cản 1200, với lại thứ 6 cuối tuần tâm lý dễ tiêu cực =&gt; sai lầm khi nghĩ TT sẽ hồi 1 đoạn mới giảm, LONG mất hơn 8 giá</t>
  </si>
  <si>
    <t>2 lệnh L 1247,3, S 1241,5; Hòa vốn</t>
  </si>
  <si>
    <t>Phong tỏa 544,120,800 (dự 170k - thực tế 169k)</t>
  </si>
  <si>
    <t>Ngày 28-7-22</t>
  </si>
  <si>
    <t>FOMC họp - công bố lãi suất</t>
  </si>
  <si>
    <t>Ngày 18-6-22</t>
  </si>
  <si>
    <t>Dự định theo ASM đến sang năm - tìm điểm mua hợp lý để nhận cổ tức 1,5k</t>
  </si>
  <si>
    <t xml:space="preserve">Sau khi vào 3 lệnh có 1 lệnh nhỏ, thì tạm thời ngưng short =&gt; quá dỡ, chỉ cần giữ lệnh S hồi sáng là giờ có hơn 10M rồi =&gt; vào nhiều lệnh cuối cùng được hơn 3M =&gt; nghỉ thật nhé Trung ơi, đừng vào lệnh nữa </t>
  </si>
  <si>
    <t xml:space="preserve">7 lệnh S ATO 1244,8; S 1246,9 =&gt; nghỉ thôi </t>
  </si>
  <si>
    <t xml:space="preserve">Cũng may là chốt phiên được kéo 16k, hy vọng mai bớt sai, Quá sai vì không tuân thủ nhận định đầu ngày mà còn sai hơn khi máu vào gần như là FULL, Hnay nên đứng ngoài TT cơ sở, nghĩ là tăng mà mua full 40k ASM thì rủi ro cao T3, nếu nó tăng thiệt thì cũng nên chờ đợi tiếp, còn nhiều con đang dò đáy và cũng có nhiều cơ hội để lựa chọn, kinh nghiệm 2 lần all in thất bại cảnh báo cho lần này =&gt; nên đứng ngoài vì PHT 2-1 trước, sau đó mới chia =&gt; có thể đó là lý do ASM bị đạp vì in cổ lấy tiền trả tức =&gt; đã không kiềm chế được và vào gần FULL </t>
  </si>
  <si>
    <t xml:space="preserve">1 lệnh LS 1218; chốt xong vẫn còn tăng mạnh lên 28, nhưng tạm nghỉ </t>
  </si>
  <si>
    <t>Ngày 21-6-22</t>
  </si>
  <si>
    <t xml:space="preserve">1 lệnh đủ target ngày, nghỉ ngơi thôi, đừng ham hố chi rồi lại chuốc lấy ưu phiền </t>
  </si>
  <si>
    <t>Vì vào sai chiến lược nên phải chấp nhận không thể làm gì ngoài chờ đợi thêm, tiếp tục rút sợi dây kinh nghiệm dài dằng dặc =&gt; nhớ trưởng thành hơn nhé, trả giá bằng thời gian nắm giữ</t>
  </si>
  <si>
    <t>Ngày 22-6-22</t>
  </si>
  <si>
    <t xml:space="preserve">Tình hình vẫn còn rất phức tạp, nhưng phiên qua là 1 đêm tăng hơn 2% của DJ, PS hôm qua ATC cũng tạo 1 gap tăng 3 giá, nên hôm nay khả năng cao sẽ tăng =&gt; có thể xem xét mua ATO và giữ hết phiên với điểm cắt lỗ xa 20 giá thì khá an toàn, giá ATO đc đẩy lên 1338 nên ko cảm thấy an toàn và quyết định theo dõi tt thêm trước khi vào lệnh=&gt; đóng ATO kéo về 33,8 sau đó tăng mạnh nên cũng khó vào lệnh đầu phiên, thôi đành để đó theo dõi đợi tt ổn định hơn hãy vào =&gt; lại bị dính lệnh SHORT không chủ đích, may mà phát hiện kịp thời </t>
  </si>
  <si>
    <t xml:space="preserve">ASM giữ luôn ko chấp nhận bán lỗ, coi như quên luôn, thành cổ đông dài hạn và lãi suất hơn tiết kiệm ngân hàng là ok </t>
  </si>
  <si>
    <t>5 lệnh L 1238,3, L 1236,3, L 1231,2, L 1229,66, S 1231,5; mua giá vùng cản hơn 10' mà giá vẫn ko chạy nên thoát ra tìm cơ hội khác =&gt; tạm nghỉ, có thể chiều vào kiếm 5 giá 1hđ cho nhẹ đầu (+/- đều nghỉ được) =&gt; vào 5hđ và may mắn thoát được có lời =&gt; nghỉ thôi =&gt; thấy cơ hội quá tốt khi tâm lý bi quan và đã Short khi giá quay đầu và chốt ATC cho xong ngày</t>
  </si>
  <si>
    <t>Kiếm tiền nạp vào để giữ lệnh ASM</t>
  </si>
  <si>
    <t>Tháng 7-22</t>
  </si>
  <si>
    <t>Tháng 8-22</t>
  </si>
  <si>
    <t>Tháng 9-22</t>
  </si>
  <si>
    <t>Tháng 10-22</t>
  </si>
  <si>
    <t>Tháng 11-22</t>
  </si>
  <si>
    <t>Tháng 12-22</t>
  </si>
  <si>
    <t>Tổng cộng</t>
  </si>
  <si>
    <t>CUR MON</t>
  </si>
  <si>
    <t>MON COST</t>
  </si>
  <si>
    <t>Ngày 23-6-22</t>
  </si>
  <si>
    <t>Ghi nhận lại khoản lợi nhuận bên PS chuyển qua</t>
  </si>
  <si>
    <t xml:space="preserve">Tách bạch ra 2 khoản mục PS và CS, CS từ 22-6 Mỗi tháng trả lãi 1,6M cho khoản vay 175M - tổng 3 tháng là 4,77M </t>
  </si>
  <si>
    <t>2 lệnh L ATO 1222, L 1220,8; hnay xin nghỉ 1 ngày sau khi cắt lỗ hụt lệnh đầu tiên 5 giá, ít nhất là tới khi nào cơ hội thật chắc chắn mới vào (phiên trưa khi thấy châu á tăng mạnh thì vào)</t>
  </si>
  <si>
    <t>Vì hôm qua là ngày giảm trong khi trước đó Mỹ Âu tăng mạnh, đêm qua Mỹ ko giảm mạnh, nên hôm nay khả năng là ngày trả điểm =&gt; 1 ngày khó lường với lực mua bán khá lớn và biên độ sideway =&gt; phiên chiều đi theo châu á xanh mạnh nên kết thúc cũng không quá khó</t>
  </si>
  <si>
    <t>Ngày 24-6-22</t>
  </si>
  <si>
    <t xml:space="preserve">Vì phải dồn lực giảm tỷ lệ margin bên cơ sở nên mức độ phòng rủi ro giảm xuống bên PS, còn có 3M nên phải cẩn thận, và vì đã gần hoàn thành mục tiêu cho tháng 6 nên cũng phải cẩn trọng để kết thúc tốt đẹp =&gt; có thể mua luôn ato vì khả năng tăng cao =&gt; thêm 1 ngày mua bán quyết liệt với khối lượng lớn, tuy nhiên có hỗ trợ là tt thế giới đang xanh mạnh, nên cầm lệnh long cũng ko quá lo lắng khi đang lỗ 3 giá, lực bán số lượng lớn quá mạnh, đúng là không nên cãi lại thị trường cho dù đó là trường hợp chắc cú nhất; quản trị rủi ro và hạ tỷ trọng thanh toán nợ, </t>
  </si>
  <si>
    <t xml:space="preserve">2 lệnh L ATO 1236, L 1235,3; vào lệnh hơi vội nên quyết định cắt lỗ sớm để có thể làm lại hoặc sai luôn, sợ sai nên vào lại luôn mất thêm 0,4 giá, quyết định giữ luôn tới atc  chốt, bị phe SHORT hành hạ, coi thử hết phiên có hồi trả điểm không, nếu ko thì cũng phải cắt lỗ </t>
  </si>
  <si>
    <t>Vốn</t>
  </si>
  <si>
    <t>Lợi nhuận tích lũy</t>
  </si>
  <si>
    <t>Withdraw</t>
  </si>
  <si>
    <t>Ngày 27-6-22</t>
  </si>
  <si>
    <t>Nên giữ đến cuối phiên hoặc hết tuần này nếu TT ủng hộ sẽ có quà =&gt; ko giữ được nhiệt nên bán hết trước ATC, tạm hài lòng vì đã hòa lệnh hôm cuối tuần =&gt; ko iuwx được bình tĩnh và cuối phiên mất hơn 4,5 giá ~1,8m</t>
  </si>
  <si>
    <t>1 lệnh 4HĐ giữ từ phiên trước, ko vào thêm lệnh, canh cắt, lỗ nữa thì nên nghỉ ngơi chốt tháng cho đẹp =&gt; cắt xong nghỉ ngơi</t>
  </si>
  <si>
    <t>C-O CS</t>
  </si>
  <si>
    <t>C-O PS</t>
  </si>
  <si>
    <t>Tổng Phiên</t>
  </si>
  <si>
    <t>Ngày 28-6-22</t>
  </si>
  <si>
    <t>Tự thưởng cho 1 ngày không phải vào lệnh ps, có thể thấy an toàn thì vào cũng đc ko có thì thôi, cũng ko cần phải theo dõi liên tục</t>
  </si>
  <si>
    <t>Đứng ngoài</t>
  </si>
  <si>
    <t xml:space="preserve">Chuẩn bị kết thúc tháng 6-22; mục tiêu bên PS đã hoàn thành, bên cơ sở thì cũng còn lỗ ít, hoạch định lại chiến lược và định hướng cho tháng mới =&gt; ASM rất khó để đưa ra nhận định đúng trong giai đoạn này, khi mà lực xả hàng rất mạnh mặc dù thị trường tăng điểm mạnh, nhưng kỳ vọng lợi nhuận chưa có gì thay đổi trong khi ngành thủy sản đang chịu áp lực lớn từ ANV và VHC giảm, sợ sai lầm khi cắt lỗ xong nó phi hoặc không cắt lỗ quyết giữ thì lại bị xả =&gt; có thể mai canh hạ tỷ trọng xuống mức an toàn </t>
  </si>
  <si>
    <t>Ngày 29-6-22</t>
  </si>
  <si>
    <t>phần trung bình giá - cũng hơi sớm - tạm thoát để an toàn tài khoản - giảm kỳ vọng</t>
  </si>
  <si>
    <t>rút hết margin ra, hạn chế giao dịch trong thị trường downtrend, đợi cơ hội thật ngon vào ăn cổ tức và mua dưới giá trị doanh nghiệp =&gt; rút ra giao dịch PS</t>
  </si>
  <si>
    <t>Kiên nhẫn chờ thêm 1 vài ngày thử, có thể chốt trước 11k nếu ko an tâm =&gt; tài khoản đã về mức an toàn, có thể an tâm nắm giữ để nhận cổ tức, coi như là 1 khoản đầu tư tiết kiệm, chủ yếu kiếm tiền bên ps nếu đc</t>
  </si>
  <si>
    <t>Sợ phải vào lệnh và cũng không biết phải vào cái gì =&gt; tiếp tục đứng ngoài thành công</t>
  </si>
  <si>
    <t>Ngày 30-6-22</t>
  </si>
  <si>
    <t>Ngày chốt sổ tháng, an toàn nhất là đứng ngoài bảo toàn thành quả</t>
  </si>
  <si>
    <t>1 lệnh S 1359,5; tt ko rõ xu hướng theo đà tăng nên thoát ra sớm vì sợ sai, vào 1 lệnh nhỏ mà ko có chính kiến lắm; =&gt; quá sai lầm khi cắt lệnh quá sớm, kiên định hơn 1 chút thì thành quả sẽ ngọt ngào</t>
  </si>
  <si>
    <t xml:space="preserve">Nếu theo dõi giá hàng ngày thì khó mà giữ dc bình tĩnh và giữ lâu đc, lên thì muốn chốt lời sợ nó giật lại hết lời, xuống thì muốn cắt lỗ sợ nó giảm mạnh lỗ hơn =&gt; kiên định vs mục tiêu tích lũy số lượng, sau đó nắm giữ </t>
  </si>
  <si>
    <t>Ngày 1-7-22</t>
  </si>
  <si>
    <t>3 lệnh L ATC 1240,1, L 1227,6, L 1225,6; vào lệnh L ngày hôm trước kỳ vọng tối nay Mỹ sẽ ko rớt sâu, tuy nhiên kỳ vọng ko cao nên chỉ vào 2HĐ cho an toàn =&gt; đã chốt hòa vốn =&gt; xong nhiệm vụ hôm nay, tuy là nếu giữ 1 chút nữa sẽ ăn đậm</t>
  </si>
  <si>
    <t xml:space="preserve">Đang giảm mạnh mà vào bắt dao rơi là điều không nên, hnay phải trả giá, nên tìm cách thoát lệnh sớm =&gt; chốt hòa vốn, sau đó tt có chiều hướng đánh lên, tuân thủ nhận định là đang xu hướng giảm, canh giá cao thì vào short, giảm trước tăng sau =&gt; hoàn thành chỉ tiêu ngày, làm tốt thì có thể giữ hết phiên hơn 12 giá nữa </t>
  </si>
  <si>
    <t>lướt sóng ck có sẵn, kỳ vọng rút bớt đc giá vốn =&gt; chốt quá sớm, sau đó đóng cửa tăng mạnh lên 15,2 và đóng cửa 15, làm mất hơn đc</t>
  </si>
  <si>
    <t>Ngày 4-7-22</t>
  </si>
  <si>
    <t>ATO tăng mạnh nên để quan sát, short có điểm vào sớm hơn long, nhưng như vậy thì rủi ro hơn canh long, quyết định Short stop khi giá phá đc hỗ trợ 1250, cùng xu hướng với future của Mỹ</t>
  </si>
  <si>
    <t>1 lệnh L 1245; cắt lỗ sớm vì phá cản dưới có thể có giá thấp hơn</t>
  </si>
  <si>
    <t>dự định sẽ lướt sóng 5-10k ASM trong ngày hnay nhưng cảm thấy tt có vẻ rủi ro, tạm thời đứng ngoài tiếp tục quan sát, có thể vào khối lượng ít để lướt =&gt; lời lỗ gì thì cũng nên chốt trong ngày nhỉ =&gt; đúng là rủi ro vì đã bị nhốt 10k giá 15,2</t>
  </si>
  <si>
    <t>Ngày 5-7-22</t>
  </si>
  <si>
    <t>lướt sóng thất bại =&gt; thành ra giữ luôn; giữ 1,2 phiên nữa có điểm thoát tốt thì thoát=&gt; lướt sóng trong ngày thất bại; lướt sóng ck có sẵn, kỳ vọng rút bớt đc giá vốn =&gt; lại mua trong phiên sáng, có thể ko phải là giá tốt nhất, nhưng chưa biết là chiều có thoát đc lệnh giá tốt hơn ko =&gt; thấy sai lầm khi giá 15 đã bị hốt gần hết, và 1 mớ hủy lệnh nữa, rõ ràng là kê để bán</t>
  </si>
  <si>
    <t>Lướt sóng thất bại 10k ASM, đường đầu tư ngày càng mù mịt =&gt; tìm ra lối đi riêng</t>
  </si>
  <si>
    <t>7,5 lệnh L 1245; tâm lý đè nặng, áp lực nên không kiên định và nhìn thấu đáo, cần phải bình tĩnh</t>
  </si>
  <si>
    <t>mai nên cắt xong có thể nghỉ ngơi nhìn lại thị trường, tàm thời quên đi mất mát, làm lại</t>
  </si>
  <si>
    <t>Ngày 6-7-22</t>
  </si>
  <si>
    <t xml:space="preserve">Đêm qua DJ đã có 1 pha quay xe ngoạn mục từ mức giảm hơn 2% đóng cửa chỉ còn giảm 0,42%, từ tâm lý bi quan sang đỡ bi quan, tình hình có thể giữ thêm 1,2 phiên để xem ASM có tiếp tục phá 13 ko </t>
  </si>
  <si>
    <t>Rút ra ngưng giao dịch CS - Giữ PS 1 lệnh</t>
  </si>
  <si>
    <t>Giờ giữ luôn 10k-trading T0 giảm giá vốn và tích sản; Giá TB Thành: 22,5k; 6-7 bán cắt lỗ khi giá phá 14 đi xuống và tình hình thế giới nguy hiểm; 29-06-22 Quyết ko bán lỗ; Vào quá sớm và chưa biết giờ sẽ giảm tới đâu!!!; dự định giá hợp lý thì vào, vào trước có thể mua TBG =&gt; hơi máu đã vào full 30k giá xanh, sau đó tt lại giảm mạnh, FULL 21-6-22</t>
  </si>
  <si>
    <t>1 lệnh S 1229,9; giữ lệnh khi giá phá 1252, lại quá sai lầm, 1 pha rũ kinh điển, kéo lên 33 rồi quay về đạp 1 phát về máng lợn luôn 1215, và mình đã bị dụ thoát ở 1228,4 =&gt; quá đau cho một niềm tin</t>
  </si>
  <si>
    <t>Thoát gần hết CS để chuyển qua Short PS mà cũng ko giữ đc đến cuối ngày, hơn 2h đã bị đánh cho ói hàng ra trước khi tt chạy đúng xu hướng =&gt; tự nhiên FTSE tăng mạnh là lý do mình bị dao động, giờ đúng là ko biết làm gì, short rất nguy hiểm vì giá đang ở vùng thấp giá bật tăng lại trước đây</t>
  </si>
  <si>
    <t>KL_PS(K)</t>
  </si>
  <si>
    <t>KL_CS(M)</t>
  </si>
  <si>
    <t>3 lệnh L S lẫn lộn =&gt; cần thay đổi để tiếp tục</t>
  </si>
  <si>
    <t>Ngày 7-7-22</t>
  </si>
  <si>
    <t>Tham lam và sợ hãi xuất hiện theo 1 cách ko mong muốn, cái cần tham thì ko tham, cái cần sợ thì ko sợ =&gt; mất mát ko đáng có</t>
  </si>
  <si>
    <t>SW</t>
  </si>
  <si>
    <t xml:space="preserve">CS - PS </t>
  </si>
  <si>
    <t>CS C-O</t>
  </si>
  <si>
    <t>CS H-L</t>
  </si>
  <si>
    <t>Kết quả Trade (Giá)</t>
  </si>
  <si>
    <t>CS(C)-PS(C)</t>
  </si>
  <si>
    <t>PS H-L</t>
  </si>
  <si>
    <t>PS-Open</t>
  </si>
  <si>
    <t>PS-High</t>
  </si>
  <si>
    <t>PS-Low</t>
  </si>
  <si>
    <t>PS-Close</t>
  </si>
  <si>
    <t>CS-Open</t>
  </si>
  <si>
    <t>CS-High</t>
  </si>
  <si>
    <t>CS-Low</t>
  </si>
  <si>
    <t>CS-Close</t>
  </si>
  <si>
    <t>1 lệnh SS 1226; giữ lệnh qua tuần đợi tin xấu tối nay của Mỹ</t>
  </si>
  <si>
    <t>Ngày 8-7-22</t>
  </si>
  <si>
    <t>Short lệnh 1226, giữ qua tuần</t>
  </si>
  <si>
    <t>1 lệnh S 1225; giữ từ tuần trước, dự báo kinh tế suy thoái, giá phá vỡ vùng hỗ trợ dưới nên giữ short =&gt; quá thất bại khi chốt sớm đầu ngày, để lại tới atc là đc hơn 19M nữa, liệu có nên nghỉ hẳn vì mình không hợp vs chứng khoán không???</t>
  </si>
  <si>
    <t>Ngày 12-7-22</t>
  </si>
  <si>
    <t xml:space="preserve">có tín hiệu bật tăng trở lại, nên tận dụng cơ hội </t>
  </si>
  <si>
    <t xml:space="preserve">Mua vào 10k ASM vì thấy thị trường có nhịp hồi với dòng Heo khi giá heo tăng, câu hỏi đặt ra là tại sao thủy sản được hưởng lợi như vậy lại bị bán tháo, ASM sắp chia cổ tức và bán CP giá 12, trong khi dự chia cổ tức năm sau là 20%, với mức giá này có thể nắm giữ lợi hơn gởi ngân hàng =&gt; đừng dùng margin để khỏi bị áp lực =&gt; không thể ngồi im khi giá lên tím, dòng Thủy sản sẽ có sóng nên vào thêm 10k để TBG </t>
  </si>
  <si>
    <t>Nạp lại để khỏi vay và cơ cấu tiền sẵn có để mua PHT - không giao dịch chứng khoán nữa mà thử giữ luôn 1 doanh nghiệp - rút ra 125M để day trading</t>
  </si>
  <si>
    <t>Ngày 14-7-22</t>
  </si>
  <si>
    <t>1 lệnh L 1210,4; khi giá break 1209 thì vào Long, nhưng giá đi ko như kỳ vọng, cắt lỗ 10 giá 1200,7 may mắn chốt lời 2,6 giá =&gt; nghỉ thôi</t>
  </si>
  <si>
    <t>Vào lệnh LONG trong khi thị trường thế giới không ủng hộ, tối qua CPI của Mỹ vẫn tăng cao và ck châu á đỏ lửa =&gt; quá may vì đã hit lệnh và quay đầu giảm điểm</t>
  </si>
  <si>
    <t>Giá vẫn đang giằng co quanh vùng 14,25 nhưng có vẻ khả quan vì nếu ra tin chia cổ tức 1,5K thì sẽ phi chắc trần đc 2 phiên =&gt; nắm giữ chắc vẫn ok</t>
  </si>
  <si>
    <t>Ngày 15-7-22</t>
  </si>
  <si>
    <t>1 lệnh L 1218.1; thấp hơn 0,4 giá ATO</t>
  </si>
  <si>
    <t xml:space="preserve">Định vào lệnh ATO và chốt lệnh ATC, nhưng mở phiên đã xuất hiện GAP tăng lên 1219 nên quyết định đứng ngoài để mua được giá tốt hơn và chốt lệnh trong ATC hoặc giữ qua tuần đều đc =&gt; sai lầm khi không chốt lời như mọi khi 2,3 giá, để giờ lỗ gần 7 giá và quyết định giữ sang tuần vì dự báo không có gì xấu - thứ 2 nạp tiền vào giữ lệnh - chấp nhận lỗ 20 giá </t>
  </si>
  <si>
    <t>giữ lệnh từ thứ 6, có cơ hội chốt lời mà ko chốt</t>
  </si>
  <si>
    <t>Ngày 20-7-22</t>
  </si>
  <si>
    <t>Đã chính thức về bờ tháng này, giữ lệnh tới thời điểm này không hiệu quả bằng chốt liền như tháng trước</t>
  </si>
  <si>
    <t>KEEP</t>
  </si>
  <si>
    <t>Vì tối qua DJ tăng mạnh nên hnay khó có kịch bản VN30 giảm; Ngày đáo hạn PS, coi mấy ảnh diễn trò =&gt; không có trò gì hay ho, 1 phiên đáo hạn diễn ra bình ổn =&gt; xác định sai phiên chốt PS</t>
  </si>
  <si>
    <t>Đứng ngoài - Xác định sai phiên chốt PS, hnay mới đúng</t>
  </si>
  <si>
    <t>1 lệnh L 1231; sai lầm vì đã có lời 3 giá mà để lỗ gần 7 giá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</si>
</sst>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29" x14ac:knownFonts="1">
    <font>
      <sz val="11"/>
      <color theme="1"/>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rgb="FFFF0000"/>
      <name val="Calibri"/>
      <family val="2"/>
      <scheme val="minor"/>
    </font>
    <font>
      <sz val="10"/>
      <color rgb="FF222222"/>
      <name val="Arial"/>
      <family val="2"/>
    </font>
    <font>
      <b/>
      <sz val="18"/>
      <color rgb="FFFFFF00"/>
      <name val="Calibri"/>
      <family val="2"/>
      <scheme val="minor"/>
    </font>
    <font>
      <b/>
      <sz val="18"/>
      <color theme="0" tint="-0.34998626667073579"/>
      <name val="Calibri"/>
      <family val="2"/>
      <scheme val="minor"/>
    </font>
    <font>
      <b/>
      <sz val="11"/>
      <color rgb="FF00B050"/>
      <name val="Calibri"/>
      <family val="2"/>
      <scheme val="minor"/>
    </font>
    <font>
      <sz val="11"/>
      <color theme="1"/>
      <name val="Calibri"/>
      <family val="2"/>
      <scheme val="minor"/>
    </font>
    <font>
      <sz val="10"/>
      <color rgb="FF000000"/>
      <name val="Arial"/>
      <family val="2"/>
    </font>
    <font>
      <sz val="11"/>
      <color rgb="FF0000CC"/>
      <name val="Calibri"/>
      <family val="2"/>
      <scheme val="minor"/>
    </font>
    <font>
      <b/>
      <sz val="11"/>
      <color rgb="FF7030A0"/>
      <name val="Calibri"/>
      <family val="2"/>
      <scheme val="minor"/>
    </font>
    <font>
      <b/>
      <sz val="11"/>
      <name val="Calibri"/>
      <family val="2"/>
      <scheme val="minor"/>
    </font>
    <font>
      <sz val="11"/>
      <name val="Calibri"/>
      <family val="2"/>
      <scheme val="minor"/>
    </font>
    <font>
      <b/>
      <i/>
      <sz val="11"/>
      <color theme="1"/>
      <name val="Calibri"/>
      <family val="2"/>
      <scheme val="minor"/>
    </font>
    <font>
      <sz val="8"/>
      <color rgb="FF343434"/>
      <name val="Tahoma"/>
      <family val="2"/>
    </font>
    <font>
      <b/>
      <sz val="8"/>
      <color rgb="FF343434"/>
      <name val="Tahoma"/>
      <family val="2"/>
    </font>
    <font>
      <sz val="8"/>
      <color rgb="FF004370"/>
      <name val="Tahoma"/>
      <family val="2"/>
    </font>
    <font>
      <b/>
      <sz val="8"/>
      <color rgb="FF004370"/>
      <name val="Tahoma"/>
      <family val="2"/>
    </font>
    <font>
      <sz val="8"/>
      <color rgb="FFFF0000"/>
      <name val="Tahoma"/>
      <family val="2"/>
    </font>
    <font>
      <b/>
      <sz val="8"/>
      <color rgb="FFFF0000"/>
      <name val="Tahoma"/>
      <family val="2"/>
    </font>
    <font>
      <b/>
      <sz val="11"/>
      <color rgb="FF0000CC"/>
      <name val="Calibri"/>
      <family val="2"/>
      <scheme val="minor"/>
    </font>
    <font>
      <b/>
      <sz val="18"/>
      <color theme="2" tint="-9.9978637043366805E-2"/>
      <name val="Calibri"/>
      <family val="2"/>
      <scheme val="minor"/>
    </font>
    <font>
      <b/>
      <sz val="18"/>
      <color theme="0" tint="-0.249977111117893"/>
      <name val="Calibri"/>
      <family val="2"/>
      <scheme val="minor"/>
    </font>
    <font>
      <sz val="8"/>
      <name val="Calibri"/>
      <family val="2"/>
      <scheme val="minor"/>
    </font>
  </fonts>
  <fills count="8">
    <fill>
      <patternFill patternType="none"/>
    </fill>
    <fill>
      <patternFill patternType="gray125"/>
    </fill>
    <fill>
      <patternFill patternType="solid">
        <fgColor theme="2"/>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9" fontId="12" fillId="0" borderId="0" applyFont="0" applyFill="0" applyBorder="0" applyAlignment="0" applyProtection="0"/>
  </cellStyleXfs>
  <cellXfs count="168">
    <xf numFmtId="0" fontId="0" fillId="0" borderId="0" xfId="0"/>
    <xf numFmtId="0" fontId="1" fillId="0" borderId="0" xfId="1"/>
    <xf numFmtId="0" fontId="0" fillId="0" borderId="0" xfId="0" quotePrefix="1"/>
    <xf numFmtId="16" fontId="0" fillId="0" borderId="0" xfId="0" quotePrefix="1" applyNumberFormat="1"/>
    <xf numFmtId="16" fontId="2" fillId="0" borderId="0" xfId="0" quotePrefix="1" applyNumberFormat="1" applyFont="1"/>
    <xf numFmtId="0" fontId="2" fillId="0" borderId="0" xfId="0" applyFont="1"/>
    <xf numFmtId="0" fontId="3" fillId="0" borderId="0" xfId="0" applyFont="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16" fontId="0" fillId="2" borderId="0" xfId="0" quotePrefix="1" applyNumberFormat="1" applyFill="1"/>
    <xf numFmtId="0" fontId="0" fillId="2" borderId="0" xfId="0" applyFill="1"/>
    <xf numFmtId="0" fontId="0" fillId="0" borderId="1" xfId="0" applyBorder="1"/>
    <xf numFmtId="0" fontId="2" fillId="0" borderId="1" xfId="0" applyFont="1" applyBorder="1"/>
    <xf numFmtId="0" fontId="0" fillId="0" borderId="1" xfId="0" applyFont="1" applyBorder="1"/>
    <xf numFmtId="2" fontId="2" fillId="0" borderId="1" xfId="0" applyNumberFormat="1" applyFont="1" applyBorder="1"/>
    <xf numFmtId="2" fontId="0" fillId="0" borderId="1" xfId="0" applyNumberFormat="1" applyFont="1" applyBorder="1"/>
    <xf numFmtId="2" fontId="0" fillId="0" borderId="1" xfId="0" applyNumberFormat="1" applyBorder="1"/>
    <xf numFmtId="2" fontId="0" fillId="0" borderId="0" xfId="0" applyNumberFormat="1"/>
    <xf numFmtId="16" fontId="0" fillId="0" borderId="0" xfId="0" applyNumberFormat="1"/>
    <xf numFmtId="3" fontId="0" fillId="0" borderId="1" xfId="0" applyNumberFormat="1" applyBorder="1"/>
    <xf numFmtId="3" fontId="2" fillId="0" borderId="1" xfId="0" applyNumberFormat="1" applyFont="1" applyBorder="1"/>
    <xf numFmtId="2" fontId="0" fillId="0" borderId="0" xfId="0" applyNumberFormat="1" applyAlignment="1">
      <alignment horizontal="center"/>
    </xf>
    <xf numFmtId="2" fontId="2" fillId="0" borderId="1" xfId="0" applyNumberFormat="1" applyFont="1" applyBorder="1" applyAlignment="1">
      <alignment horizontal="center"/>
    </xf>
    <xf numFmtId="2" fontId="0" fillId="0" borderId="1" xfId="0" applyNumberFormat="1" applyFont="1" applyBorder="1" applyAlignment="1">
      <alignment horizontal="center"/>
    </xf>
    <xf numFmtId="2" fontId="0" fillId="0" borderId="1" xfId="0" applyNumberFormat="1" applyBorder="1" applyAlignment="1">
      <alignment horizontal="center"/>
    </xf>
    <xf numFmtId="0" fontId="6" fillId="0" borderId="0" xfId="0" quotePrefix="1" applyFont="1"/>
    <xf numFmtId="0" fontId="6" fillId="0" borderId="1" xfId="0" applyFont="1" applyBorder="1"/>
    <xf numFmtId="0" fontId="8" fillId="0" borderId="0" xfId="0" applyFont="1"/>
    <xf numFmtId="0" fontId="2" fillId="0" borderId="0" xfId="0" applyFont="1" applyFill="1" applyBorder="1"/>
    <xf numFmtId="0" fontId="2" fillId="0" borderId="2" xfId="0" applyFont="1" applyFill="1" applyBorder="1"/>
    <xf numFmtId="0" fontId="0" fillId="0" borderId="0" xfId="0" applyBorder="1"/>
    <xf numFmtId="0" fontId="2" fillId="0" borderId="2" xfId="0" applyFont="1" applyBorder="1"/>
    <xf numFmtId="0" fontId="2" fillId="0" borderId="0" xfId="0" applyFont="1" applyBorder="1"/>
    <xf numFmtId="0" fontId="0" fillId="0" borderId="0" xfId="0" applyFont="1" applyBorder="1"/>
    <xf numFmtId="0" fontId="9" fillId="0" borderId="0" xfId="0" applyFont="1"/>
    <xf numFmtId="3" fontId="0" fillId="0" borderId="1" xfId="0" applyNumberFormat="1" applyFont="1" applyBorder="1"/>
    <xf numFmtId="9" fontId="0" fillId="0" borderId="0" xfId="2" applyFont="1"/>
    <xf numFmtId="0" fontId="2" fillId="0" borderId="3" xfId="0" applyFont="1" applyBorder="1"/>
    <xf numFmtId="0" fontId="0" fillId="0" borderId="3" xfId="0" applyFont="1" applyBorder="1"/>
    <xf numFmtId="0" fontId="0" fillId="0" borderId="3" xfId="0" applyBorder="1"/>
    <xf numFmtId="14" fontId="2" fillId="0" borderId="0" xfId="0" applyNumberFormat="1" applyFont="1"/>
    <xf numFmtId="0" fontId="0" fillId="0" borderId="4" xfId="0" applyFont="1" applyBorder="1"/>
    <xf numFmtId="16" fontId="0" fillId="0" borderId="4" xfId="0" applyNumberFormat="1" applyFont="1" applyBorder="1"/>
    <xf numFmtId="16" fontId="0" fillId="0" borderId="4" xfId="0" applyNumberFormat="1" applyBorder="1"/>
    <xf numFmtId="0" fontId="0" fillId="0" borderId="5" xfId="0" applyFont="1" applyBorder="1"/>
    <xf numFmtId="2" fontId="0" fillId="0" borderId="5" xfId="0" applyNumberFormat="1" applyFont="1" applyBorder="1" applyAlignment="1">
      <alignment horizontal="left"/>
    </xf>
    <xf numFmtId="0" fontId="0" fillId="0" borderId="5" xfId="0" quotePrefix="1" applyFont="1" applyBorder="1"/>
    <xf numFmtId="0" fontId="6" fillId="0" borderId="5" xfId="0" applyFont="1" applyBorder="1"/>
    <xf numFmtId="0" fontId="0" fillId="0" borderId="5" xfId="0" applyBorder="1"/>
    <xf numFmtId="0" fontId="2" fillId="0" borderId="6" xfId="0" applyFont="1" applyBorder="1"/>
    <xf numFmtId="0" fontId="2" fillId="0" borderId="7" xfId="0" applyFont="1" applyBorder="1"/>
    <xf numFmtId="2" fontId="2" fillId="0" borderId="7" xfId="0" applyNumberFormat="1" applyFont="1" applyBorder="1"/>
    <xf numFmtId="2" fontId="2" fillId="0" borderId="7" xfId="0" applyNumberFormat="1" applyFont="1" applyBorder="1" applyAlignment="1">
      <alignment horizontal="center"/>
    </xf>
    <xf numFmtId="0" fontId="2" fillId="0" borderId="8" xfId="0" applyFont="1" applyBorder="1"/>
    <xf numFmtId="16" fontId="0" fillId="0" borderId="9" xfId="0" applyNumberFormat="1" applyBorder="1"/>
    <xf numFmtId="2" fontId="0" fillId="0" borderId="3" xfId="0" applyNumberFormat="1" applyBorder="1"/>
    <xf numFmtId="2" fontId="0" fillId="0" borderId="3" xfId="0" applyNumberFormat="1" applyBorder="1" applyAlignment="1">
      <alignment horizontal="center"/>
    </xf>
    <xf numFmtId="0" fontId="0" fillId="0" borderId="10" xfId="0" applyBorder="1"/>
    <xf numFmtId="2" fontId="2" fillId="3" borderId="1" xfId="0" applyNumberFormat="1" applyFont="1" applyFill="1" applyBorder="1" applyAlignment="1">
      <alignment horizontal="center"/>
    </xf>
    <xf numFmtId="0" fontId="0" fillId="0" borderId="1" xfId="0" applyBorder="1" applyAlignment="1">
      <alignment horizontal="center"/>
    </xf>
    <xf numFmtId="2" fontId="2" fillId="4" borderId="1" xfId="0" applyNumberFormat="1" applyFont="1" applyFill="1" applyBorder="1" applyAlignment="1">
      <alignment horizontal="center"/>
    </xf>
    <xf numFmtId="9" fontId="2" fillId="0" borderId="2" xfId="2" applyFont="1" applyBorder="1"/>
    <xf numFmtId="0" fontId="0" fillId="0" borderId="1" xfId="0" quotePrefix="1" applyFont="1" applyBorder="1" applyAlignment="1">
      <alignment horizontal="center"/>
    </xf>
    <xf numFmtId="2" fontId="2" fillId="0" borderId="2" xfId="0" applyNumberFormat="1" applyFont="1" applyBorder="1"/>
    <xf numFmtId="10" fontId="0" fillId="0" borderId="1" xfId="2" applyNumberFormat="1" applyFont="1" applyBorder="1"/>
    <xf numFmtId="0" fontId="2" fillId="0" borderId="7" xfId="0" applyNumberFormat="1" applyFont="1" applyBorder="1" applyAlignment="1">
      <alignment horizontal="center"/>
    </xf>
    <xf numFmtId="0" fontId="2" fillId="0" borderId="1" xfId="0" applyNumberFormat="1" applyFont="1" applyBorder="1" applyAlignment="1">
      <alignment horizontal="center"/>
    </xf>
    <xf numFmtId="0" fontId="2" fillId="0" borderId="0" xfId="0" applyNumberFormat="1" applyFont="1" applyAlignment="1">
      <alignment horizontal="center"/>
    </xf>
    <xf numFmtId="0" fontId="2" fillId="0" borderId="1" xfId="2" applyNumberFormat="1" applyFont="1" applyBorder="1" applyAlignment="1">
      <alignment horizontal="center"/>
    </xf>
    <xf numFmtId="0" fontId="2" fillId="0" borderId="3" xfId="0" applyNumberFormat="1" applyFon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Alignment="1">
      <alignment horizontal="center"/>
    </xf>
    <xf numFmtId="164" fontId="2" fillId="0" borderId="7" xfId="2" applyNumberFormat="1" applyFont="1" applyBorder="1" applyAlignment="1">
      <alignment horizontal="center"/>
    </xf>
    <xf numFmtId="164" fontId="12" fillId="0" borderId="1" xfId="2" applyNumberFormat="1" applyFont="1" applyBorder="1" applyAlignment="1">
      <alignment horizontal="center"/>
    </xf>
    <xf numFmtId="164" fontId="2" fillId="0" borderId="1" xfId="2" applyNumberFormat="1" applyFont="1" applyBorder="1" applyAlignment="1">
      <alignment horizontal="center"/>
    </xf>
    <xf numFmtId="164" fontId="0" fillId="0" borderId="3" xfId="2" applyNumberFormat="1" applyFont="1" applyBorder="1" applyAlignment="1">
      <alignment horizontal="center"/>
    </xf>
    <xf numFmtId="1" fontId="2" fillId="0" borderId="1" xfId="2" applyNumberFormat="1" applyFont="1" applyBorder="1" applyAlignment="1">
      <alignment horizontal="center"/>
    </xf>
    <xf numFmtId="14" fontId="0" fillId="0" borderId="0" xfId="0" applyNumberFormat="1"/>
    <xf numFmtId="0" fontId="14" fillId="0" borderId="0" xfId="0" applyFont="1"/>
    <xf numFmtId="14" fontId="14" fillId="0" borderId="0" xfId="0" applyNumberFormat="1" applyFont="1"/>
    <xf numFmtId="9" fontId="0" fillId="0" borderId="1"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9" fontId="0" fillId="0" borderId="3" xfId="0" applyNumberFormat="1" applyBorder="1" applyAlignment="1">
      <alignment horizontal="center"/>
    </xf>
    <xf numFmtId="0" fontId="0" fillId="0" borderId="10" xfId="0" applyBorder="1" applyAlignment="1">
      <alignment horizontal="center"/>
    </xf>
    <xf numFmtId="1" fontId="0" fillId="0" borderId="7" xfId="0" applyNumberFormat="1" applyBorder="1" applyAlignment="1">
      <alignment horizont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0" xfId="0" applyNumberFormat="1"/>
    <xf numFmtId="3" fontId="0" fillId="0" borderId="5" xfId="0" applyNumberFormat="1" applyFont="1" applyBorder="1"/>
    <xf numFmtId="4" fontId="0" fillId="0" borderId="5" xfId="0" applyNumberFormat="1" applyFont="1" applyBorder="1"/>
    <xf numFmtId="164" fontId="0" fillId="0" borderId="5" xfId="2" applyNumberFormat="1" applyFont="1" applyBorder="1" applyAlignment="1">
      <alignment horizontal="center"/>
    </xf>
    <xf numFmtId="2" fontId="0" fillId="0" borderId="4" xfId="0" applyNumberFormat="1" applyFont="1" applyBorder="1" applyAlignment="1">
      <alignment horizontal="center"/>
    </xf>
    <xf numFmtId="0" fontId="7" fillId="0" borderId="0" xfId="0" applyFont="1" applyBorder="1"/>
    <xf numFmtId="0" fontId="2" fillId="0" borderId="1" xfId="0" quotePrefix="1" applyNumberFormat="1" applyFont="1" applyBorder="1" applyAlignment="1">
      <alignment horizontal="center"/>
    </xf>
    <xf numFmtId="0" fontId="0" fillId="4" borderId="0" xfId="0" applyFont="1" applyFill="1" applyBorder="1"/>
    <xf numFmtId="3" fontId="0" fillId="0" borderId="0" xfId="0" applyNumberFormat="1" applyBorder="1"/>
    <xf numFmtId="2" fontId="0" fillId="0" borderId="0" xfId="2" applyNumberFormat="1" applyFont="1"/>
    <xf numFmtId="0" fontId="11" fillId="0" borderId="0" xfId="0" applyFont="1" applyBorder="1"/>
    <xf numFmtId="2" fontId="2" fillId="4" borderId="4" xfId="0" applyNumberFormat="1" applyFont="1" applyFill="1" applyBorder="1" applyAlignment="1">
      <alignment horizontal="center"/>
    </xf>
    <xf numFmtId="0" fontId="0" fillId="0" borderId="0" xfId="0" applyFont="1" applyFill="1" applyBorder="1"/>
    <xf numFmtId="2" fontId="2" fillId="3" borderId="4" xfId="0" applyNumberFormat="1" applyFont="1" applyFill="1" applyBorder="1" applyAlignment="1">
      <alignment horizontal="center"/>
    </xf>
    <xf numFmtId="0" fontId="0" fillId="0" borderId="1" xfId="0" applyNumberFormat="1" applyFont="1" applyBorder="1" applyAlignment="1">
      <alignment horizontal="center"/>
    </xf>
    <xf numFmtId="2" fontId="0" fillId="0" borderId="5" xfId="0" applyNumberFormat="1" applyFont="1" applyBorder="1"/>
    <xf numFmtId="0" fontId="16" fillId="0" borderId="2" xfId="0" applyFont="1" applyFill="1" applyBorder="1"/>
    <xf numFmtId="0" fontId="7" fillId="0" borderId="2" xfId="0" applyFont="1" applyBorder="1"/>
    <xf numFmtId="0" fontId="17" fillId="0" borderId="0" xfId="0" applyFont="1" applyBorder="1"/>
    <xf numFmtId="0" fontId="0" fillId="0" borderId="7" xfId="0" applyBorder="1"/>
    <xf numFmtId="0" fontId="0" fillId="0" borderId="12" xfId="0" applyBorder="1"/>
    <xf numFmtId="0" fontId="0" fillId="0" borderId="13" xfId="0" applyBorder="1"/>
    <xf numFmtId="14" fontId="0" fillId="0" borderId="14" xfId="0" applyNumberFormat="1" applyBorder="1"/>
    <xf numFmtId="0" fontId="13" fillId="0" borderId="11" xfId="0" applyFont="1" applyBorder="1"/>
    <xf numFmtId="10" fontId="7" fillId="0" borderId="1" xfId="2" applyNumberFormat="1" applyFont="1" applyBorder="1"/>
    <xf numFmtId="0" fontId="16" fillId="0" borderId="1" xfId="0" applyFont="1" applyBorder="1"/>
    <xf numFmtId="14" fontId="13" fillId="0" borderId="11" xfId="0" applyNumberFormat="1" applyFont="1" applyBorder="1"/>
    <xf numFmtId="0" fontId="3" fillId="0" borderId="5" xfId="0" applyFont="1" applyBorder="1"/>
    <xf numFmtId="165" fontId="1" fillId="0" borderId="0" xfId="1" applyNumberFormat="1"/>
    <xf numFmtId="16" fontId="0" fillId="3" borderId="4" xfId="0" applyNumberFormat="1" applyFont="1" applyFill="1" applyBorder="1"/>
    <xf numFmtId="0" fontId="0" fillId="3" borderId="1" xfId="0" applyFont="1" applyFill="1" applyBorder="1"/>
    <xf numFmtId="2" fontId="0" fillId="3" borderId="1" xfId="0" applyNumberFormat="1" applyFont="1" applyFill="1" applyBorder="1"/>
    <xf numFmtId="164" fontId="0" fillId="3" borderId="1" xfId="2" applyNumberFormat="1" applyFont="1" applyFill="1" applyBorder="1" applyAlignment="1">
      <alignment horizontal="center"/>
    </xf>
    <xf numFmtId="1" fontId="2" fillId="3" borderId="1" xfId="2" applyNumberFormat="1" applyFont="1" applyFill="1" applyBorder="1" applyAlignment="1">
      <alignment horizontal="center"/>
    </xf>
    <xf numFmtId="0" fontId="2" fillId="3" borderId="1" xfId="0" applyNumberFormat="1" applyFont="1" applyFill="1" applyBorder="1" applyAlignment="1">
      <alignment horizontal="center"/>
    </xf>
    <xf numFmtId="2" fontId="0" fillId="3" borderId="1" xfId="0" applyNumberFormat="1" applyFont="1" applyFill="1" applyBorder="1" applyAlignment="1">
      <alignment horizontal="center"/>
    </xf>
    <xf numFmtId="165" fontId="0" fillId="0" borderId="0" xfId="0" applyNumberFormat="1" applyBorder="1"/>
    <xf numFmtId="2" fontId="0" fillId="3" borderId="4" xfId="0" applyNumberFormat="1" applyFont="1" applyFill="1" applyBorder="1" applyAlignment="1">
      <alignment horizontal="center"/>
    </xf>
    <xf numFmtId="165" fontId="0" fillId="0" borderId="0" xfId="0" quotePrefix="1" applyNumberFormat="1" applyBorder="1"/>
    <xf numFmtId="0" fontId="0" fillId="0" borderId="0" xfId="0" quotePrefix="1" applyBorder="1"/>
    <xf numFmtId="0" fontId="0" fillId="0" borderId="0" xfId="0" applyFill="1" applyBorder="1"/>
    <xf numFmtId="10" fontId="0" fillId="0" borderId="0" xfId="2" applyNumberFormat="1" applyFont="1" applyBorder="1"/>
    <xf numFmtId="0" fontId="0" fillId="0" borderId="1" xfId="0" applyFill="1" applyBorder="1"/>
    <xf numFmtId="0" fontId="2" fillId="0" borderId="1" xfId="0" applyFont="1" applyFill="1" applyBorder="1"/>
    <xf numFmtId="10" fontId="0" fillId="0" borderId="0" xfId="2" quotePrefix="1" applyNumberFormat="1" applyFont="1" applyBorder="1"/>
    <xf numFmtId="0" fontId="0" fillId="0" borderId="0" xfId="0" quotePrefix="1" applyFill="1" applyBorder="1"/>
    <xf numFmtId="10" fontId="0" fillId="0" borderId="0" xfId="2" quotePrefix="1" applyNumberFormat="1" applyFont="1"/>
    <xf numFmtId="9" fontId="0" fillId="0" borderId="0" xfId="2" applyFont="1" applyBorder="1"/>
    <xf numFmtId="2" fontId="0" fillId="4" borderId="4" xfId="0" applyNumberFormat="1" applyFont="1" applyFill="1" applyBorder="1" applyAlignment="1">
      <alignment horizontal="center"/>
    </xf>
    <xf numFmtId="0" fontId="19" fillId="0" borderId="0" xfId="0" applyFont="1"/>
    <xf numFmtId="0" fontId="23" fillId="0" borderId="0" xfId="0" applyFont="1"/>
    <xf numFmtId="0" fontId="16" fillId="0" borderId="0" xfId="0" applyFont="1" applyBorder="1"/>
    <xf numFmtId="10" fontId="7" fillId="0" borderId="0" xfId="2" applyNumberFormat="1" applyFont="1" applyBorder="1"/>
    <xf numFmtId="0" fontId="25" fillId="0" borderId="0" xfId="0" applyFont="1"/>
    <xf numFmtId="16" fontId="0" fillId="0" borderId="9" xfId="0" applyNumberFormat="1" applyFont="1" applyBorder="1"/>
    <xf numFmtId="2" fontId="0" fillId="0" borderId="3" xfId="0" applyNumberFormat="1" applyFont="1" applyBorder="1"/>
    <xf numFmtId="0" fontId="0" fillId="0" borderId="10" xfId="0" applyFont="1" applyBorder="1"/>
    <xf numFmtId="2" fontId="0" fillId="5" borderId="9" xfId="0" applyNumberFormat="1" applyFont="1" applyFill="1" applyBorder="1" applyAlignment="1">
      <alignment horizontal="center"/>
    </xf>
    <xf numFmtId="2" fontId="0" fillId="0" borderId="5" xfId="0" applyNumberFormat="1" applyFont="1" applyBorder="1" applyAlignment="1">
      <alignment horizontal="center"/>
    </xf>
    <xf numFmtId="2" fontId="0" fillId="0" borderId="16" xfId="0" applyNumberFormat="1" applyFont="1" applyBorder="1" applyAlignment="1">
      <alignment horizontal="center"/>
    </xf>
    <xf numFmtId="2" fontId="0" fillId="5" borderId="15" xfId="0" applyNumberFormat="1" applyFont="1" applyFill="1" applyBorder="1" applyAlignment="1">
      <alignment horizontal="center"/>
    </xf>
    <xf numFmtId="2" fontId="2" fillId="0" borderId="8" xfId="0" applyNumberFormat="1" applyFont="1" applyBorder="1" applyAlignment="1">
      <alignment horizontal="center"/>
    </xf>
    <xf numFmtId="2" fontId="0" fillId="5" borderId="1" xfId="0" applyNumberFormat="1" applyFont="1" applyFill="1" applyBorder="1" applyAlignment="1">
      <alignment horizontal="center"/>
    </xf>
    <xf numFmtId="10" fontId="17" fillId="0" borderId="0" xfId="2" applyNumberFormat="1" applyFont="1" applyBorder="1"/>
    <xf numFmtId="0" fontId="10" fillId="0" borderId="0" xfId="0" applyFont="1"/>
    <xf numFmtId="16" fontId="0" fillId="6" borderId="0" xfId="0" applyNumberFormat="1" applyFill="1"/>
    <xf numFmtId="0" fontId="3" fillId="0" borderId="1" xfId="0" applyFont="1" applyBorder="1"/>
    <xf numFmtId="2" fontId="0" fillId="0" borderId="4" xfId="0" applyNumberFormat="1" applyBorder="1" applyAlignment="1">
      <alignment horizontal="center"/>
    </xf>
    <xf numFmtId="2" fontId="2" fillId="6" borderId="4" xfId="0" applyNumberFormat="1" applyFont="1" applyFill="1" applyBorder="1" applyAlignment="1">
      <alignment horizontal="center"/>
    </xf>
    <xf numFmtId="3" fontId="2" fillId="0" borderId="0" xfId="0" applyNumberFormat="1" applyFont="1" applyBorder="1"/>
    <xf numFmtId="16" fontId="0" fillId="7" borderId="0" xfId="0" applyNumberFormat="1" applyFill="1"/>
    <xf numFmtId="16" fontId="0" fillId="0" borderId="0" xfId="0" applyNumberFormat="1" applyFill="1"/>
    <xf numFmtId="16" fontId="0" fillId="0" borderId="1" xfId="0" applyNumberFormat="1" applyFont="1" applyBorder="1"/>
    <xf numFmtId="0" fontId="0" fillId="0" borderId="0" xfId="0" applyFill="1"/>
  </cellXfs>
  <cellStyles count="3">
    <cellStyle name="Hyperlink" xfId="1" builtinId="8"/>
    <cellStyle name="Normal" xfId="0" builtinId="0"/>
    <cellStyle name="Percent" xfId="2" builtinId="5"/>
  </cellStyles>
  <dxfs count="61">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19" formatCode="dd/mm/yyyy"/>
    </dxf>
    <dxf>
      <font>
        <strike val="0"/>
        <outline val="0"/>
        <shadow val="0"/>
        <u val="none"/>
        <vertAlign val="baseline"/>
        <sz val="11"/>
        <color rgb="FF0000CC"/>
        <name val="Calibri"/>
        <scheme val="minor"/>
      </font>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1" formatCode="dd\-mmm"/>
      <border diagonalUp="0" diagonalDown="0">
        <left/>
        <right style="thin">
          <color indexed="64"/>
        </right>
        <top style="thin">
          <color indexed="64"/>
        </top>
        <bottom style="thin">
          <color indexed="64"/>
        </bottom>
        <vertical/>
        <horizontal/>
      </border>
    </dxf>
    <dxf>
      <border outline="0">
        <top style="thin">
          <color indexed="64"/>
        </top>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A2:K284" totalsRowShown="0" headerRowDxfId="60" headerRowBorderDxfId="59" tableBorderDxfId="58">
  <autoFilter ref="A2:K284"/>
  <tableColumns count="11">
    <tableColumn id="1" name="Date" dataDxfId="57"/>
    <tableColumn id="2" name="Order" dataDxfId="56"/>
    <tableColumn id="3" name="Stock" dataDxfId="55"/>
    <tableColumn id="4" name="Commission" dataDxfId="54"/>
    <tableColumn id="5" name="Price" dataDxfId="53"/>
    <tableColumn id="6" name="Volume" dataDxfId="52"/>
    <tableColumn id="7" name="NR" dataDxfId="51"/>
    <tableColumn id="8" name="Average Price" dataDxfId="50" dataCellStyle="Percent"/>
    <tableColumn id="11" name="T+" dataDxfId="49"/>
    <tableColumn id="9" name="Result" dataDxfId="48"/>
    <tableColumn id="10" name="Notes" dataDxfId="47"/>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2:J59" totalsRowShown="0" headerRowDxfId="46" headerRowBorderDxfId="45" tableBorderDxfId="44" totalsRowBorderDxfId="43">
  <autoFilter ref="A2:J59"/>
  <tableColumns count="10">
    <tableColumn id="1" name="Date" dataDxfId="42"/>
    <tableColumn id="2" name="Order" dataDxfId="41"/>
    <tableColumn id="3" name="Commission" dataDxfId="40">
      <calculatedColumnFormula>86.314*2</calculatedColumnFormula>
    </tableColumn>
    <tableColumn id="4" name="Price" dataDxfId="39"/>
    <tableColumn id="5" name="Volume" dataDxfId="38"/>
    <tableColumn id="6" name="Vị thế đóng" dataDxfId="37"/>
    <tableColumn id="8" name="Result" dataDxfId="36">
      <calculatedColumnFormula>Table6[[#This Row],[Vị thế đóng]]-Table6[[#This Row],[Commission]]</calculatedColumnFormula>
    </tableColumn>
    <tableColumn id="9" name="H-L PS" dataDxfId="35"/>
    <tableColumn id="10" name="RR" dataDxfId="34"/>
    <tableColumn id="7" name="Notes" dataDxfId="33"/>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B2:F4" totalsRowShown="0" headerRowDxfId="32">
  <autoFilter ref="B2:F4"/>
  <tableColumns count="5">
    <tableColumn id="1" name="Sách"/>
    <tableColumn id="2" name="Ngày mua" dataDxfId="31"/>
    <tableColumn id="3" name="NXB"/>
    <tableColumn id="4" name="Ngày đọc xong lần 1"/>
    <tableColumn id="5" name="Nhận xét"/>
  </tableColumns>
  <tableStyleInfo name="TableStyleMedium5" showFirstColumn="0" showLastColumn="0" showRowStripes="1" showColumnStripes="0"/>
</table>
</file>

<file path=xl/tables/table4.xml><?xml version="1.0" encoding="utf-8"?>
<table xmlns="http://schemas.openxmlformats.org/spreadsheetml/2006/main" id="4" name="Table4" displayName="Table4" ref="A2:H21" totalsRowShown="0" headerRowDxfId="30" dataDxfId="28" headerRowBorderDxfId="29" tableBorderDxfId="27" totalsRowBorderDxfId="26">
  <autoFilter ref="A2:H21"/>
  <sortState ref="A3:H21">
    <sortCondition ref="F2:F21"/>
  </sortState>
  <tableColumns count="8">
    <tableColumn id="1" name="STT" dataDxfId="25"/>
    <tableColumn id="2" name="Tên NH" dataDxfId="24"/>
    <tableColumn id="3" name="EPS" dataDxfId="23"/>
    <tableColumn id="4" name="PE" dataDxfId="22"/>
    <tableColumn id="5" name="GTSS" dataDxfId="21"/>
    <tableColumn id="6" name="KLCP" dataDxfId="20"/>
    <tableColumn id="7" name="Giá 27-4-21" dataDxfId="19"/>
    <tableColumn id="8" name="Cổ đông Khác (%)" dataDxfId="18"/>
  </tableColumns>
  <tableStyleInfo name="TableStyleMedium5" showFirstColumn="0" showLastColumn="0" showRowStripes="1" showColumnStripes="0"/>
</table>
</file>

<file path=xl/tables/table5.xml><?xml version="1.0" encoding="utf-8"?>
<table xmlns="http://schemas.openxmlformats.org/spreadsheetml/2006/main" id="3" name="Table3" displayName="Table3" ref="A3:M32" totalsRowShown="0" headerRowDxfId="17" dataDxfId="15" headerRowBorderDxfId="16" tableBorderDxfId="14" totalsRowBorderDxfId="13">
  <autoFilter ref="A3:M32"/>
  <sortState ref="A4:M32">
    <sortCondition ref="A3:A32"/>
  </sortState>
  <tableColumns count="13">
    <tableColumn id="1" name="STT" dataDxfId="12"/>
    <tableColumn id="2" name="Mã CK" dataDxfId="11"/>
    <tableColumn id="3" name="+/-" dataDxfId="10"/>
    <tableColumn id="4" name="EPS" dataDxfId="9"/>
    <tableColumn id="5" name="PE" dataDxfId="8"/>
    <tableColumn id="6" name="ROA" dataDxfId="7"/>
    <tableColumn id="7" name="ROE" dataDxfId="6"/>
    <tableColumn id="8" name="Giá SS" dataDxfId="5"/>
    <tableColumn id="9" name="P/B" dataDxfId="4"/>
    <tableColumn id="10" name="Beta" dataDxfId="3"/>
    <tableColumn id="11" name="Tổng KL" dataDxfId="2"/>
    <tableColumn id="12" name="NN SởHữu" dataDxfId="1"/>
    <tableColumn id="13" name="Vốn TT (Tỷ)"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dvphuocs159@gmail.com"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www.phatdatbinhthoi.com.vn/ban-ui-hoi-nuoc-yairz-dung-5975.htm" TargetMode="External"/><Relationship Id="rId1" Type="http://schemas.openxmlformats.org/officeDocument/2006/relationships/hyperlink" Target="http://www.phatdatbinhthoi.com.vn/xe-dieu-khien-rock-crawler-112-5968.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8"/>
  <sheetViews>
    <sheetView workbookViewId="0">
      <selection activeCell="B5" sqref="B5"/>
    </sheetView>
  </sheetViews>
  <sheetFormatPr defaultRowHeight="14.5" x14ac:dyDescent="0.35"/>
  <cols>
    <col min="1" max="1" width="9.1796875" customWidth="1"/>
  </cols>
  <sheetData>
    <row r="1" spans="1:2" x14ac:dyDescent="0.35">
      <c r="A1" t="s">
        <v>131</v>
      </c>
    </row>
    <row r="12" spans="1:2" x14ac:dyDescent="0.35">
      <c r="A12" t="s">
        <v>1192</v>
      </c>
    </row>
    <row r="13" spans="1:2" x14ac:dyDescent="0.35">
      <c r="B13" t="s">
        <v>1193</v>
      </c>
    </row>
    <row r="14" spans="1:2" x14ac:dyDescent="0.35">
      <c r="B14" t="s">
        <v>1194</v>
      </c>
    </row>
    <row r="16" spans="1:2" x14ac:dyDescent="0.35">
      <c r="A16" t="s">
        <v>846</v>
      </c>
    </row>
    <row r="17" spans="1:3" x14ac:dyDescent="0.35">
      <c r="B17" t="s">
        <v>847</v>
      </c>
    </row>
    <row r="18" spans="1:3" x14ac:dyDescent="0.35">
      <c r="C18" t="s">
        <v>885</v>
      </c>
    </row>
    <row r="19" spans="1:3" x14ac:dyDescent="0.35">
      <c r="C19" t="s">
        <v>848</v>
      </c>
    </row>
    <row r="20" spans="1:3" x14ac:dyDescent="0.35">
      <c r="C20" t="s">
        <v>886</v>
      </c>
    </row>
    <row r="21" spans="1:3" x14ac:dyDescent="0.35">
      <c r="C21" t="s">
        <v>849</v>
      </c>
    </row>
    <row r="22" spans="1:3" x14ac:dyDescent="0.35">
      <c r="C22" t="s">
        <v>850</v>
      </c>
    </row>
    <row r="23" spans="1:3" x14ac:dyDescent="0.35">
      <c r="B23" t="s">
        <v>851</v>
      </c>
    </row>
    <row r="24" spans="1:3" x14ac:dyDescent="0.35">
      <c r="C24" t="s">
        <v>884</v>
      </c>
    </row>
    <row r="25" spans="1:3" x14ac:dyDescent="0.35">
      <c r="C25" t="s">
        <v>859</v>
      </c>
    </row>
    <row r="26" spans="1:3" x14ac:dyDescent="0.35">
      <c r="A26" t="s">
        <v>852</v>
      </c>
      <c r="C26" t="s">
        <v>887</v>
      </c>
    </row>
    <row r="27" spans="1:3" x14ac:dyDescent="0.35">
      <c r="C27" t="s">
        <v>853</v>
      </c>
    </row>
    <row r="28" spans="1:3" x14ac:dyDescent="0.35">
      <c r="C28" t="s">
        <v>854</v>
      </c>
    </row>
    <row r="29" spans="1:3" x14ac:dyDescent="0.35">
      <c r="C29" t="s">
        <v>855</v>
      </c>
    </row>
    <row r="30" spans="1:3" x14ac:dyDescent="0.35">
      <c r="A30" s="41" t="s">
        <v>286</v>
      </c>
    </row>
    <row r="31" spans="1:3" x14ac:dyDescent="0.35">
      <c r="B31" t="s">
        <v>391</v>
      </c>
    </row>
    <row r="32" spans="1:3" x14ac:dyDescent="0.35">
      <c r="C32" t="s">
        <v>292</v>
      </c>
    </row>
    <row r="33" spans="1:3" x14ac:dyDescent="0.35">
      <c r="C33" t="s">
        <v>272</v>
      </c>
    </row>
    <row r="34" spans="1:3" x14ac:dyDescent="0.35">
      <c r="C34" t="s">
        <v>273</v>
      </c>
    </row>
    <row r="35" spans="1:3" x14ac:dyDescent="0.35">
      <c r="C35" t="s">
        <v>274</v>
      </c>
    </row>
    <row r="36" spans="1:3" x14ac:dyDescent="0.35">
      <c r="C36" t="s">
        <v>275</v>
      </c>
    </row>
    <row r="37" spans="1:3" x14ac:dyDescent="0.35">
      <c r="B37" t="s">
        <v>271</v>
      </c>
    </row>
    <row r="38" spans="1:3" x14ac:dyDescent="0.35">
      <c r="C38" t="s">
        <v>293</v>
      </c>
    </row>
    <row r="39" spans="1:3" x14ac:dyDescent="0.35">
      <c r="C39" t="s">
        <v>285</v>
      </c>
    </row>
    <row r="40" spans="1:3" x14ac:dyDescent="0.35">
      <c r="C40" t="s">
        <v>284</v>
      </c>
    </row>
    <row r="41" spans="1:3" x14ac:dyDescent="0.35">
      <c r="C41" t="s">
        <v>283</v>
      </c>
    </row>
    <row r="42" spans="1:3" x14ac:dyDescent="0.35">
      <c r="C42" t="s">
        <v>294</v>
      </c>
    </row>
    <row r="43" spans="1:3" x14ac:dyDescent="0.35">
      <c r="A43" t="s">
        <v>170</v>
      </c>
    </row>
    <row r="44" spans="1:3" x14ac:dyDescent="0.35">
      <c r="B44" t="s">
        <v>185</v>
      </c>
    </row>
    <row r="45" spans="1:3" x14ac:dyDescent="0.35">
      <c r="B45" t="s">
        <v>171</v>
      </c>
    </row>
    <row r="46" spans="1:3" x14ac:dyDescent="0.35">
      <c r="A46" s="5" t="s">
        <v>128</v>
      </c>
    </row>
    <row r="47" spans="1:3" x14ac:dyDescent="0.35">
      <c r="B47" t="s">
        <v>129</v>
      </c>
    </row>
    <row r="48" spans="1:3" x14ac:dyDescent="0.35">
      <c r="C48" t="s">
        <v>130</v>
      </c>
    </row>
    <row r="49" spans="1:3" x14ac:dyDescent="0.35">
      <c r="C49" t="s">
        <v>159</v>
      </c>
    </row>
    <row r="50" spans="1:3" x14ac:dyDescent="0.35">
      <c r="C50" t="s">
        <v>133</v>
      </c>
    </row>
    <row r="51" spans="1:3" x14ac:dyDescent="0.35">
      <c r="C51" t="s">
        <v>147</v>
      </c>
    </row>
    <row r="52" spans="1:3" x14ac:dyDescent="0.35">
      <c r="B52" t="s">
        <v>134</v>
      </c>
    </row>
    <row r="53" spans="1:3" x14ac:dyDescent="0.35">
      <c r="C53" t="s">
        <v>149</v>
      </c>
    </row>
    <row r="54" spans="1:3" x14ac:dyDescent="0.35">
      <c r="C54" t="s">
        <v>136</v>
      </c>
    </row>
    <row r="55" spans="1:3" x14ac:dyDescent="0.35">
      <c r="C55" t="s">
        <v>146</v>
      </c>
    </row>
    <row r="56" spans="1:3" x14ac:dyDescent="0.35">
      <c r="C56" t="s">
        <v>135</v>
      </c>
    </row>
    <row r="57" spans="1:3" x14ac:dyDescent="0.35">
      <c r="C57" t="s">
        <v>137</v>
      </c>
    </row>
    <row r="59" spans="1:3" x14ac:dyDescent="0.35">
      <c r="A59" t="s">
        <v>112</v>
      </c>
    </row>
    <row r="60" spans="1:3" x14ac:dyDescent="0.35">
      <c r="B60" t="s">
        <v>113</v>
      </c>
    </row>
    <row r="61" spans="1:3" x14ac:dyDescent="0.35">
      <c r="A61" t="s">
        <v>104</v>
      </c>
    </row>
    <row r="62" spans="1:3" x14ac:dyDescent="0.35">
      <c r="B62" t="s">
        <v>105</v>
      </c>
    </row>
    <row r="63" spans="1:3" x14ac:dyDescent="0.35">
      <c r="B63" t="s">
        <v>110</v>
      </c>
    </row>
    <row r="64" spans="1:3" x14ac:dyDescent="0.35">
      <c r="B64" t="s">
        <v>106</v>
      </c>
    </row>
    <row r="65" spans="1:2" x14ac:dyDescent="0.35">
      <c r="B65" t="s">
        <v>109</v>
      </c>
    </row>
    <row r="66" spans="1:2" x14ac:dyDescent="0.35">
      <c r="B66" t="s">
        <v>111</v>
      </c>
    </row>
    <row r="67" spans="1:2" x14ac:dyDescent="0.35">
      <c r="B67" t="s">
        <v>107</v>
      </c>
    </row>
    <row r="68" spans="1:2" x14ac:dyDescent="0.35">
      <c r="B68" t="s">
        <v>108</v>
      </c>
    </row>
    <row r="70" spans="1:2" x14ac:dyDescent="0.35">
      <c r="A70" t="s">
        <v>98</v>
      </c>
    </row>
    <row r="71" spans="1:2" x14ac:dyDescent="0.35">
      <c r="B71" t="s">
        <v>99</v>
      </c>
    </row>
    <row r="72" spans="1:2" x14ac:dyDescent="0.35">
      <c r="B72" t="s">
        <v>100</v>
      </c>
    </row>
    <row r="73" spans="1:2" x14ac:dyDescent="0.35">
      <c r="B73" t="s">
        <v>101</v>
      </c>
    </row>
    <row r="74" spans="1:2" x14ac:dyDescent="0.35">
      <c r="B74" s="2" t="s">
        <v>102</v>
      </c>
    </row>
    <row r="75" spans="1:2" x14ac:dyDescent="0.35">
      <c r="B75" s="2" t="s">
        <v>103</v>
      </c>
    </row>
    <row r="77" spans="1:2" x14ac:dyDescent="0.35">
      <c r="A77" t="s">
        <v>81</v>
      </c>
    </row>
    <row r="78" spans="1:2" x14ac:dyDescent="0.35">
      <c r="B78" t="s">
        <v>82</v>
      </c>
    </row>
    <row r="79" spans="1:2" x14ac:dyDescent="0.35">
      <c r="B79" t="s">
        <v>83</v>
      </c>
    </row>
    <row r="80" spans="1:2" x14ac:dyDescent="0.35">
      <c r="B80" t="s">
        <v>84</v>
      </c>
    </row>
    <row r="81" spans="1:2" x14ac:dyDescent="0.35">
      <c r="B81" t="s">
        <v>85</v>
      </c>
    </row>
    <row r="82" spans="1:2" x14ac:dyDescent="0.35">
      <c r="B82" s="2" t="s">
        <v>86</v>
      </c>
    </row>
    <row r="83" spans="1:2" x14ac:dyDescent="0.35">
      <c r="B83" s="2" t="s">
        <v>87</v>
      </c>
    </row>
    <row r="84" spans="1:2" x14ac:dyDescent="0.35">
      <c r="B84" s="2" t="s">
        <v>88</v>
      </c>
    </row>
    <row r="85" spans="1:2" x14ac:dyDescent="0.35">
      <c r="A85" t="s">
        <v>55</v>
      </c>
    </row>
    <row r="86" spans="1:2" x14ac:dyDescent="0.35">
      <c r="B86" t="s">
        <v>56</v>
      </c>
    </row>
    <row r="87" spans="1:2" x14ac:dyDescent="0.35">
      <c r="B87" t="s">
        <v>57</v>
      </c>
    </row>
    <row r="88" spans="1:2" x14ac:dyDescent="0.35">
      <c r="B88" t="s">
        <v>58</v>
      </c>
    </row>
  </sheetData>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1"/>
  <sheetViews>
    <sheetView workbookViewId="0"/>
  </sheetViews>
  <sheetFormatPr defaultRowHeight="14.5" x14ac:dyDescent="0.35"/>
  <cols>
    <col min="2" max="2" width="9.54296875" customWidth="1"/>
    <col min="6" max="6" width="12.7265625" bestFit="1" customWidth="1"/>
    <col min="7" max="7" width="13" customWidth="1"/>
    <col min="8" max="8" width="18.453125" customWidth="1"/>
  </cols>
  <sheetData>
    <row r="2" spans="1:8" x14ac:dyDescent="0.35">
      <c r="A2" s="84" t="s">
        <v>455</v>
      </c>
      <c r="B2" s="85" t="s">
        <v>444</v>
      </c>
      <c r="C2" s="85" t="s">
        <v>445</v>
      </c>
      <c r="D2" s="85" t="s">
        <v>446</v>
      </c>
      <c r="E2" s="85" t="s">
        <v>447</v>
      </c>
      <c r="F2" s="85" t="s">
        <v>448</v>
      </c>
      <c r="G2" s="85" t="s">
        <v>450</v>
      </c>
      <c r="H2" s="86" t="s">
        <v>452</v>
      </c>
    </row>
    <row r="3" spans="1:8" x14ac:dyDescent="0.35">
      <c r="A3" s="82">
        <v>13</v>
      </c>
      <c r="B3" s="60" t="s">
        <v>529</v>
      </c>
      <c r="C3" s="60">
        <v>3.49</v>
      </c>
      <c r="D3" s="60">
        <v>7.78</v>
      </c>
      <c r="E3" s="60">
        <v>16.23</v>
      </c>
      <c r="F3" s="60" t="s">
        <v>610</v>
      </c>
      <c r="G3" s="60">
        <v>27.15</v>
      </c>
      <c r="H3" s="83">
        <v>35.340000000000003</v>
      </c>
    </row>
    <row r="4" spans="1:8" x14ac:dyDescent="0.35">
      <c r="A4" s="82">
        <v>14</v>
      </c>
      <c r="B4" s="60" t="s">
        <v>532</v>
      </c>
      <c r="C4" s="60">
        <v>1.73</v>
      </c>
      <c r="D4" s="60">
        <v>11.98</v>
      </c>
      <c r="E4" s="60">
        <v>13.24</v>
      </c>
      <c r="F4" s="60" t="s">
        <v>535</v>
      </c>
      <c r="G4" s="60">
        <v>20.7</v>
      </c>
      <c r="H4" s="83">
        <v>85.14</v>
      </c>
    </row>
    <row r="5" spans="1:8" x14ac:dyDescent="0.35">
      <c r="A5" s="82">
        <v>9</v>
      </c>
      <c r="B5" s="60" t="s">
        <v>501</v>
      </c>
      <c r="C5" s="60">
        <v>4.17</v>
      </c>
      <c r="D5" s="60">
        <v>12.89</v>
      </c>
      <c r="E5" s="60">
        <v>16.2</v>
      </c>
      <c r="F5" s="60" t="s">
        <v>505</v>
      </c>
      <c r="G5" s="60">
        <v>53.8</v>
      </c>
      <c r="H5" s="83">
        <v>50.92</v>
      </c>
    </row>
    <row r="6" spans="1:8" x14ac:dyDescent="0.35">
      <c r="A6" s="82">
        <v>12</v>
      </c>
      <c r="B6" s="60" t="s">
        <v>522</v>
      </c>
      <c r="C6" s="60">
        <v>0.87</v>
      </c>
      <c r="D6" s="60">
        <v>30.04</v>
      </c>
      <c r="E6" s="60">
        <v>13.68</v>
      </c>
      <c r="F6" s="60" t="s">
        <v>527</v>
      </c>
      <c r="G6" s="60">
        <v>26.2</v>
      </c>
      <c r="H6" s="83">
        <v>75.209999999999994</v>
      </c>
    </row>
    <row r="7" spans="1:8" x14ac:dyDescent="0.35">
      <c r="A7" s="82">
        <v>5</v>
      </c>
      <c r="B7" s="60" t="s">
        <v>200</v>
      </c>
      <c r="C7" s="60">
        <v>2.66</v>
      </c>
      <c r="D7" s="60">
        <v>9.9600000000000009</v>
      </c>
      <c r="E7" s="60">
        <v>14.43</v>
      </c>
      <c r="F7" s="60" t="s">
        <v>607</v>
      </c>
      <c r="G7" s="60">
        <v>26.55</v>
      </c>
      <c r="H7" s="83">
        <v>71.709999999999994</v>
      </c>
    </row>
    <row r="8" spans="1:8" x14ac:dyDescent="0.35">
      <c r="A8" s="82">
        <v>10</v>
      </c>
      <c r="B8" s="60" t="s">
        <v>506</v>
      </c>
      <c r="C8" s="60">
        <v>1.48</v>
      </c>
      <c r="D8" s="60">
        <v>18.25</v>
      </c>
      <c r="E8" s="60">
        <v>19.649999999999999</v>
      </c>
      <c r="F8" s="60" t="s">
        <v>608</v>
      </c>
      <c r="G8" s="60">
        <v>27.1</v>
      </c>
      <c r="H8" s="83">
        <v>70.42</v>
      </c>
    </row>
    <row r="9" spans="1:8" x14ac:dyDescent="0.35">
      <c r="A9" s="82">
        <v>11</v>
      </c>
      <c r="B9" s="60" t="s">
        <v>198</v>
      </c>
      <c r="C9" s="60">
        <v>1.49</v>
      </c>
      <c r="D9" s="60">
        <v>15.17</v>
      </c>
      <c r="E9" s="60">
        <v>16.05</v>
      </c>
      <c r="F9" s="60" t="s">
        <v>609</v>
      </c>
      <c r="G9" s="60">
        <v>22.5</v>
      </c>
      <c r="H9" s="83">
        <v>79.64</v>
      </c>
    </row>
    <row r="10" spans="1:8" x14ac:dyDescent="0.35">
      <c r="A10" s="82">
        <v>8</v>
      </c>
      <c r="B10" s="60" t="s">
        <v>495</v>
      </c>
      <c r="C10" s="60">
        <v>3.55</v>
      </c>
      <c r="D10" s="60">
        <v>9.39</v>
      </c>
      <c r="E10" s="60">
        <v>16.399999999999999</v>
      </c>
      <c r="F10" s="60" t="s">
        <v>499</v>
      </c>
      <c r="G10" s="60">
        <v>33.35</v>
      </c>
      <c r="H10" s="83">
        <v>85.66</v>
      </c>
    </row>
    <row r="11" spans="1:8" x14ac:dyDescent="0.35">
      <c r="A11" s="82">
        <v>7</v>
      </c>
      <c r="B11" s="60" t="s">
        <v>196</v>
      </c>
      <c r="C11" s="60">
        <v>4.3</v>
      </c>
      <c r="D11" s="60">
        <v>12.32</v>
      </c>
      <c r="E11" s="60">
        <v>21.51</v>
      </c>
      <c r="F11" s="60" t="s">
        <v>489</v>
      </c>
      <c r="G11" s="60">
        <v>53</v>
      </c>
      <c r="H11" s="83">
        <v>67.23</v>
      </c>
    </row>
    <row r="12" spans="1:8" x14ac:dyDescent="0.35">
      <c r="A12" s="82">
        <v>1</v>
      </c>
      <c r="B12" s="60" t="s">
        <v>367</v>
      </c>
      <c r="C12" s="60">
        <v>2.99</v>
      </c>
      <c r="D12" s="60">
        <v>9.92</v>
      </c>
      <c r="E12" s="60">
        <v>18.14</v>
      </c>
      <c r="F12" s="60" t="s">
        <v>449</v>
      </c>
      <c r="G12" s="60">
        <v>29.6</v>
      </c>
      <c r="H12" s="83">
        <v>54.65</v>
      </c>
    </row>
    <row r="13" spans="1:8" x14ac:dyDescent="0.35">
      <c r="A13" s="82">
        <v>4</v>
      </c>
      <c r="B13" s="60" t="s">
        <v>481</v>
      </c>
      <c r="C13" s="60">
        <v>3.43</v>
      </c>
      <c r="D13" s="60">
        <v>11.49</v>
      </c>
      <c r="E13" s="60">
        <v>20.74</v>
      </c>
      <c r="F13" s="60" t="s">
        <v>606</v>
      </c>
      <c r="G13" s="60">
        <v>39.450000000000003</v>
      </c>
      <c r="H13" s="83">
        <v>66.83</v>
      </c>
    </row>
    <row r="14" spans="1:8" x14ac:dyDescent="0.35">
      <c r="A14" s="82">
        <v>2</v>
      </c>
      <c r="B14" s="60" t="s">
        <v>451</v>
      </c>
      <c r="C14" s="60">
        <v>4.97</v>
      </c>
      <c r="D14" s="60">
        <v>19.82</v>
      </c>
      <c r="E14" s="60">
        <v>25.35</v>
      </c>
      <c r="F14" s="60" t="s">
        <v>453</v>
      </c>
      <c r="G14" s="60">
        <v>98.6</v>
      </c>
      <c r="H14" s="83">
        <v>7.65</v>
      </c>
    </row>
    <row r="15" spans="1:8" x14ac:dyDescent="0.35">
      <c r="A15" s="82">
        <v>6</v>
      </c>
      <c r="B15" s="60" t="s">
        <v>197</v>
      </c>
      <c r="C15" s="60">
        <v>3.68</v>
      </c>
      <c r="D15" s="60">
        <v>10.79</v>
      </c>
      <c r="E15" s="60">
        <v>22.78</v>
      </c>
      <c r="F15" s="60" t="s">
        <v>479</v>
      </c>
      <c r="G15" s="60">
        <v>39.700000000000003</v>
      </c>
      <c r="H15" s="83">
        <v>12.45</v>
      </c>
    </row>
    <row r="16" spans="1:8" x14ac:dyDescent="0.35">
      <c r="A16" s="82">
        <v>3</v>
      </c>
      <c r="B16" s="60" t="s">
        <v>454</v>
      </c>
      <c r="C16" s="60">
        <v>1.74</v>
      </c>
      <c r="D16" s="60">
        <v>23.28</v>
      </c>
      <c r="E16" s="60">
        <v>19</v>
      </c>
      <c r="F16" s="60" t="s">
        <v>473</v>
      </c>
      <c r="G16" s="60">
        <v>40.450000000000003</v>
      </c>
      <c r="H16" s="83">
        <v>4.01</v>
      </c>
    </row>
    <row r="17" spans="1:8" x14ac:dyDescent="0.35">
      <c r="A17" s="82">
        <v>17</v>
      </c>
      <c r="B17" s="60" t="s">
        <v>545</v>
      </c>
      <c r="C17" s="60">
        <v>0</v>
      </c>
      <c r="D17" s="60">
        <v>5739</v>
      </c>
      <c r="E17" s="60">
        <v>10.48</v>
      </c>
      <c r="F17" s="60" t="s">
        <v>613</v>
      </c>
      <c r="G17" s="60">
        <v>17.100000000000001</v>
      </c>
      <c r="H17" s="83">
        <v>88.25</v>
      </c>
    </row>
    <row r="18" spans="1:8" x14ac:dyDescent="0.35">
      <c r="A18" s="82">
        <v>18</v>
      </c>
      <c r="B18" s="60" t="s">
        <v>555</v>
      </c>
      <c r="C18" s="60">
        <v>1.88</v>
      </c>
      <c r="D18" s="60">
        <v>8.7200000000000006</v>
      </c>
      <c r="E18" s="60">
        <v>16.96</v>
      </c>
      <c r="F18" s="60" t="s">
        <v>611</v>
      </c>
      <c r="G18" s="60">
        <v>16.399999999999999</v>
      </c>
      <c r="H18" s="83">
        <v>79.599999999999994</v>
      </c>
    </row>
    <row r="19" spans="1:8" x14ac:dyDescent="0.35">
      <c r="A19" s="82">
        <v>19</v>
      </c>
      <c r="B19" s="60" t="s">
        <v>559</v>
      </c>
      <c r="C19" s="60">
        <v>0.59</v>
      </c>
      <c r="D19" s="60">
        <v>22.47</v>
      </c>
      <c r="E19" s="60">
        <v>10.19</v>
      </c>
      <c r="F19" s="60" t="s">
        <v>612</v>
      </c>
      <c r="G19" s="60">
        <v>13.5</v>
      </c>
      <c r="H19" s="83">
        <v>84.21</v>
      </c>
    </row>
    <row r="20" spans="1:8" x14ac:dyDescent="0.35">
      <c r="A20" s="82">
        <v>16</v>
      </c>
      <c r="B20" s="60" t="s">
        <v>541</v>
      </c>
      <c r="C20" s="60">
        <v>1.69</v>
      </c>
      <c r="D20" s="60">
        <v>9.6</v>
      </c>
      <c r="E20" s="60">
        <v>15.6</v>
      </c>
      <c r="F20" s="60" t="s">
        <v>544</v>
      </c>
      <c r="G20" s="60">
        <v>16.399999999999999</v>
      </c>
      <c r="H20" s="83">
        <v>42.95</v>
      </c>
    </row>
    <row r="21" spans="1:8" x14ac:dyDescent="0.35">
      <c r="A21" s="87">
        <v>15</v>
      </c>
      <c r="B21" s="88" t="s">
        <v>536</v>
      </c>
      <c r="C21" s="88">
        <v>0.74</v>
      </c>
      <c r="D21" s="88">
        <v>36.19</v>
      </c>
      <c r="E21" s="88">
        <v>11.8</v>
      </c>
      <c r="F21" s="88" t="s">
        <v>540</v>
      </c>
      <c r="G21" s="88">
        <v>26.7</v>
      </c>
      <c r="H21" s="90">
        <v>91.27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14" workbookViewId="0">
      <selection activeCell="G34" sqref="G34"/>
    </sheetView>
  </sheetViews>
  <sheetFormatPr defaultRowHeight="14.5" x14ac:dyDescent="0.35"/>
  <cols>
    <col min="8" max="8" width="11" bestFit="1" customWidth="1"/>
    <col min="11" max="11" width="12.7265625" style="94" bestFit="1" customWidth="1"/>
    <col min="12" max="12" width="12.7265625" bestFit="1" customWidth="1"/>
    <col min="13" max="13" width="13" customWidth="1"/>
  </cols>
  <sheetData>
    <row r="1" spans="1:13" x14ac:dyDescent="0.35">
      <c r="A1" t="s">
        <v>605</v>
      </c>
    </row>
    <row r="3" spans="1:13" x14ac:dyDescent="0.35">
      <c r="A3" s="84" t="s">
        <v>455</v>
      </c>
      <c r="B3" s="85" t="s">
        <v>193</v>
      </c>
      <c r="C3" s="85" t="s">
        <v>456</v>
      </c>
      <c r="D3" s="85" t="s">
        <v>445</v>
      </c>
      <c r="E3" s="85" t="s">
        <v>446</v>
      </c>
      <c r="F3" s="85" t="s">
        <v>457</v>
      </c>
      <c r="G3" s="85" t="s">
        <v>458</v>
      </c>
      <c r="H3" s="85" t="s">
        <v>459</v>
      </c>
      <c r="I3" s="85" t="s">
        <v>460</v>
      </c>
      <c r="J3" s="85" t="s">
        <v>461</v>
      </c>
      <c r="K3" s="91" t="s">
        <v>462</v>
      </c>
      <c r="L3" s="85" t="s">
        <v>463</v>
      </c>
      <c r="M3" s="86" t="s">
        <v>464</v>
      </c>
    </row>
    <row r="4" spans="1:13" x14ac:dyDescent="0.35">
      <c r="A4" s="82">
        <v>1</v>
      </c>
      <c r="B4" s="60" t="s">
        <v>451</v>
      </c>
      <c r="C4" s="60" t="s">
        <v>465</v>
      </c>
      <c r="D4" s="60">
        <v>4.9770000000000003</v>
      </c>
      <c r="E4" s="60" t="s">
        <v>466</v>
      </c>
      <c r="F4" s="81">
        <v>0.01</v>
      </c>
      <c r="G4" s="81">
        <v>0.19</v>
      </c>
      <c r="H4" s="60" t="s">
        <v>467</v>
      </c>
      <c r="I4" s="81">
        <v>3.7</v>
      </c>
      <c r="J4" s="60" t="s">
        <v>468</v>
      </c>
      <c r="K4" s="92" t="s">
        <v>453</v>
      </c>
      <c r="L4" s="60" t="s">
        <v>469</v>
      </c>
      <c r="M4" s="83">
        <v>365.69499999999999</v>
      </c>
    </row>
    <row r="5" spans="1:13" x14ac:dyDescent="0.35">
      <c r="A5" s="82">
        <v>2</v>
      </c>
      <c r="B5" s="60" t="s">
        <v>454</v>
      </c>
      <c r="C5" s="60" t="s">
        <v>470</v>
      </c>
      <c r="D5" s="60">
        <v>1.8280000000000001</v>
      </c>
      <c r="E5" s="60" t="s">
        <v>471</v>
      </c>
      <c r="F5" s="81">
        <v>0</v>
      </c>
      <c r="G5" s="81">
        <v>0.09</v>
      </c>
      <c r="H5" s="60" t="s">
        <v>466</v>
      </c>
      <c r="I5" s="81">
        <v>2.04</v>
      </c>
      <c r="J5" s="60" t="s">
        <v>472</v>
      </c>
      <c r="K5" s="92" t="s">
        <v>473</v>
      </c>
      <c r="L5" s="60" t="s">
        <v>474</v>
      </c>
      <c r="M5" s="83">
        <v>162.892</v>
      </c>
    </row>
    <row r="6" spans="1:13" x14ac:dyDescent="0.35">
      <c r="A6" s="82">
        <v>3</v>
      </c>
      <c r="B6" s="60" t="s">
        <v>197</v>
      </c>
      <c r="C6" s="60" t="s">
        <v>475</v>
      </c>
      <c r="D6" s="60">
        <v>3.6829999999999998</v>
      </c>
      <c r="E6" s="60" t="s">
        <v>476</v>
      </c>
      <c r="F6" s="81">
        <v>0.01</v>
      </c>
      <c r="G6" s="81">
        <v>0.16</v>
      </c>
      <c r="H6" s="60" t="s">
        <v>477</v>
      </c>
      <c r="I6" s="81">
        <v>1.73</v>
      </c>
      <c r="J6" s="60" t="s">
        <v>478</v>
      </c>
      <c r="K6" s="92" t="s">
        <v>479</v>
      </c>
      <c r="L6" s="60" t="s">
        <v>480</v>
      </c>
      <c r="M6" s="83">
        <v>147.81899999999999</v>
      </c>
    </row>
    <row r="7" spans="1:13" x14ac:dyDescent="0.35">
      <c r="A7" s="82">
        <v>4</v>
      </c>
      <c r="B7" s="60" t="s">
        <v>481</v>
      </c>
      <c r="C7" s="60" t="s">
        <v>482</v>
      </c>
      <c r="D7" s="60">
        <v>3.56</v>
      </c>
      <c r="E7" s="60" t="s">
        <v>483</v>
      </c>
      <c r="F7" s="81">
        <v>0.03</v>
      </c>
      <c r="G7" s="81">
        <v>0.17</v>
      </c>
      <c r="H7" s="60" t="s">
        <v>484</v>
      </c>
      <c r="I7" s="81">
        <v>1.85</v>
      </c>
      <c r="J7" s="60" t="s">
        <v>472</v>
      </c>
      <c r="K7" s="92" t="s">
        <v>485</v>
      </c>
      <c r="L7" s="60">
        <v>0</v>
      </c>
      <c r="M7" s="83">
        <v>138.08099999999999</v>
      </c>
    </row>
    <row r="8" spans="1:13" x14ac:dyDescent="0.35">
      <c r="A8" s="82">
        <v>5</v>
      </c>
      <c r="B8" s="60" t="s">
        <v>196</v>
      </c>
      <c r="C8" s="60" t="s">
        <v>486</v>
      </c>
      <c r="D8" s="60">
        <v>4.2389999999999999</v>
      </c>
      <c r="E8" s="60" t="s">
        <v>487</v>
      </c>
      <c r="F8" s="81">
        <v>0.02</v>
      </c>
      <c r="G8" s="81">
        <v>0.2</v>
      </c>
      <c r="H8" s="60">
        <v>0</v>
      </c>
      <c r="I8" s="81">
        <v>0</v>
      </c>
      <c r="J8" s="60" t="s">
        <v>488</v>
      </c>
      <c r="K8" s="92" t="s">
        <v>489</v>
      </c>
      <c r="L8" s="60">
        <v>0</v>
      </c>
      <c r="M8" s="83">
        <v>130.208</v>
      </c>
    </row>
    <row r="9" spans="1:13" x14ac:dyDescent="0.35">
      <c r="A9" s="82">
        <v>6</v>
      </c>
      <c r="B9" s="60" t="s">
        <v>367</v>
      </c>
      <c r="C9" s="60" t="s">
        <v>490</v>
      </c>
      <c r="D9" s="60">
        <v>3.004</v>
      </c>
      <c r="E9" s="60" t="s">
        <v>491</v>
      </c>
      <c r="F9" s="81">
        <v>0.02</v>
      </c>
      <c r="G9" s="81">
        <v>0.17</v>
      </c>
      <c r="H9" s="60">
        <v>0</v>
      </c>
      <c r="I9" s="81">
        <v>0</v>
      </c>
      <c r="J9" s="60" t="s">
        <v>492</v>
      </c>
      <c r="K9" s="92" t="s">
        <v>493</v>
      </c>
      <c r="L9" s="60" t="s">
        <v>494</v>
      </c>
      <c r="M9" s="83">
        <v>82.843000000000004</v>
      </c>
    </row>
    <row r="10" spans="1:13" x14ac:dyDescent="0.35">
      <c r="A10" s="82">
        <v>7</v>
      </c>
      <c r="B10" s="60" t="s">
        <v>495</v>
      </c>
      <c r="C10" s="60" t="s">
        <v>496</v>
      </c>
      <c r="D10" s="60">
        <v>3.5539999999999998</v>
      </c>
      <c r="E10" s="60" t="s">
        <v>497</v>
      </c>
      <c r="F10" s="81">
        <v>0.02</v>
      </c>
      <c r="G10" s="81">
        <v>0.22</v>
      </c>
      <c r="H10" s="60" t="s">
        <v>498</v>
      </c>
      <c r="I10" s="81">
        <v>2.0299999999999998</v>
      </c>
      <c r="J10" s="60" t="s">
        <v>468</v>
      </c>
      <c r="K10" s="92" t="s">
        <v>499</v>
      </c>
      <c r="L10" s="60" t="s">
        <v>500</v>
      </c>
      <c r="M10" s="83">
        <v>71.98</v>
      </c>
    </row>
    <row r="11" spans="1:13" x14ac:dyDescent="0.35">
      <c r="A11" s="82">
        <v>8</v>
      </c>
      <c r="B11" s="60" t="s">
        <v>501</v>
      </c>
      <c r="C11" s="60" t="s">
        <v>502</v>
      </c>
      <c r="D11" s="60">
        <v>4.1829999999999998</v>
      </c>
      <c r="E11" s="60" t="s">
        <v>503</v>
      </c>
      <c r="F11" s="81">
        <v>0.02</v>
      </c>
      <c r="G11" s="81">
        <v>0.26</v>
      </c>
      <c r="H11" s="60" t="s">
        <v>504</v>
      </c>
      <c r="I11" s="81">
        <v>3.32</v>
      </c>
      <c r="J11" s="60" t="s">
        <v>468</v>
      </c>
      <c r="K11" s="92" t="s">
        <v>505</v>
      </c>
      <c r="L11" s="60">
        <v>0</v>
      </c>
      <c r="M11" s="83">
        <v>59.685000000000002</v>
      </c>
    </row>
    <row r="12" spans="1:13" x14ac:dyDescent="0.35">
      <c r="A12" s="82">
        <v>9</v>
      </c>
      <c r="B12" s="60" t="s">
        <v>506</v>
      </c>
      <c r="C12" s="60" t="s">
        <v>507</v>
      </c>
      <c r="D12" s="60">
        <v>1.571</v>
      </c>
      <c r="E12" s="60" t="s">
        <v>508</v>
      </c>
      <c r="F12" s="81">
        <v>0.01</v>
      </c>
      <c r="G12" s="81">
        <v>0.11</v>
      </c>
      <c r="H12" s="60">
        <v>0</v>
      </c>
      <c r="I12" s="81">
        <v>0</v>
      </c>
      <c r="J12" s="60" t="s">
        <v>478</v>
      </c>
      <c r="K12" s="92" t="s">
        <v>509</v>
      </c>
      <c r="L12" s="60" t="s">
        <v>510</v>
      </c>
      <c r="M12" s="83">
        <v>47.582999999999998</v>
      </c>
    </row>
    <row r="13" spans="1:13" x14ac:dyDescent="0.35">
      <c r="A13" s="82">
        <v>10</v>
      </c>
      <c r="B13" s="60" t="s">
        <v>200</v>
      </c>
      <c r="C13" s="60" t="s">
        <v>511</v>
      </c>
      <c r="D13" s="60">
        <v>3.5219999999999998</v>
      </c>
      <c r="E13" s="60" t="s">
        <v>512</v>
      </c>
      <c r="F13" s="81">
        <v>0.01</v>
      </c>
      <c r="G13" s="81">
        <v>0.19</v>
      </c>
      <c r="H13" s="60">
        <v>0</v>
      </c>
      <c r="I13" s="81">
        <v>0</v>
      </c>
      <c r="J13" s="60" t="s">
        <v>492</v>
      </c>
      <c r="K13" s="92" t="s">
        <v>513</v>
      </c>
      <c r="L13" s="60">
        <v>0</v>
      </c>
      <c r="M13" s="83">
        <v>42.634</v>
      </c>
    </row>
    <row r="14" spans="1:13" x14ac:dyDescent="0.35">
      <c r="A14" s="82">
        <v>11</v>
      </c>
      <c r="B14" s="60" t="s">
        <v>514</v>
      </c>
      <c r="C14" s="60" t="s">
        <v>515</v>
      </c>
      <c r="D14" s="60">
        <v>2.1219999999999999</v>
      </c>
      <c r="E14" s="60">
        <v>27</v>
      </c>
      <c r="F14" s="81">
        <v>0.01</v>
      </c>
      <c r="G14" s="81">
        <v>0.08</v>
      </c>
      <c r="H14" s="60" t="s">
        <v>516</v>
      </c>
      <c r="I14" s="81">
        <v>2.0499999999999998</v>
      </c>
      <c r="J14" s="60" t="s">
        <v>478</v>
      </c>
      <c r="K14" s="92" t="s">
        <v>517</v>
      </c>
      <c r="L14" s="60" t="s">
        <v>518</v>
      </c>
      <c r="M14" s="83">
        <v>42.609000000000002</v>
      </c>
    </row>
    <row r="15" spans="1:13" x14ac:dyDescent="0.35">
      <c r="A15" s="82">
        <v>12</v>
      </c>
      <c r="B15" s="60" t="s">
        <v>198</v>
      </c>
      <c r="C15" s="60" t="s">
        <v>519</v>
      </c>
      <c r="D15" s="60">
        <v>1.502</v>
      </c>
      <c r="E15" s="60">
        <v>15</v>
      </c>
      <c r="F15" s="81">
        <v>0.01</v>
      </c>
      <c r="G15" s="81">
        <v>0.09</v>
      </c>
      <c r="H15" s="60">
        <v>0</v>
      </c>
      <c r="I15" s="81">
        <v>0</v>
      </c>
      <c r="J15" s="60" t="s">
        <v>468</v>
      </c>
      <c r="K15" s="92" t="s">
        <v>520</v>
      </c>
      <c r="L15" s="60" t="s">
        <v>521</v>
      </c>
      <c r="M15" s="83">
        <v>42.512</v>
      </c>
    </row>
    <row r="16" spans="1:13" x14ac:dyDescent="0.35">
      <c r="A16" s="82">
        <v>13</v>
      </c>
      <c r="B16" s="60" t="s">
        <v>522</v>
      </c>
      <c r="C16" s="60" t="s">
        <v>523</v>
      </c>
      <c r="D16" s="60">
        <v>866</v>
      </c>
      <c r="E16" s="60" t="s">
        <v>524</v>
      </c>
      <c r="F16" s="81">
        <v>0.01</v>
      </c>
      <c r="G16" s="81">
        <v>0.06</v>
      </c>
      <c r="H16" s="60" t="s">
        <v>525</v>
      </c>
      <c r="I16" s="81">
        <v>1.92</v>
      </c>
      <c r="J16" s="60" t="s">
        <v>526</v>
      </c>
      <c r="K16" s="92" t="s">
        <v>527</v>
      </c>
      <c r="L16" s="60" t="s">
        <v>528</v>
      </c>
      <c r="M16" s="83">
        <v>32.308999999999997</v>
      </c>
    </row>
    <row r="17" spans="1:13" x14ac:dyDescent="0.35">
      <c r="A17" s="82">
        <v>14</v>
      </c>
      <c r="B17" s="60" t="s">
        <v>529</v>
      </c>
      <c r="C17" s="60" t="s">
        <v>530</v>
      </c>
      <c r="D17" s="60">
        <v>3.6150000000000002</v>
      </c>
      <c r="E17" s="60" t="s">
        <v>512</v>
      </c>
      <c r="F17" s="81">
        <v>0.02</v>
      </c>
      <c r="G17" s="81">
        <v>0.21</v>
      </c>
      <c r="H17" s="60">
        <v>0</v>
      </c>
      <c r="I17" s="81">
        <v>0</v>
      </c>
      <c r="J17" s="60" t="s">
        <v>468</v>
      </c>
      <c r="K17" s="92" t="s">
        <v>531</v>
      </c>
      <c r="L17" s="60">
        <v>0</v>
      </c>
      <c r="M17" s="83">
        <v>29.096</v>
      </c>
    </row>
    <row r="18" spans="1:13" x14ac:dyDescent="0.35">
      <c r="A18" s="82">
        <v>15</v>
      </c>
      <c r="B18" s="60" t="s">
        <v>532</v>
      </c>
      <c r="C18" s="60" t="s">
        <v>533</v>
      </c>
      <c r="D18" s="60">
        <v>1.7330000000000001</v>
      </c>
      <c r="E18" s="60" t="s">
        <v>534</v>
      </c>
      <c r="F18" s="81">
        <v>0.01</v>
      </c>
      <c r="G18" s="81">
        <v>0.13</v>
      </c>
      <c r="H18" s="60">
        <v>0</v>
      </c>
      <c r="I18" s="81">
        <v>0</v>
      </c>
      <c r="J18" s="60" t="s">
        <v>492</v>
      </c>
      <c r="K18" s="92" t="s">
        <v>535</v>
      </c>
      <c r="L18" s="60">
        <v>0</v>
      </c>
      <c r="M18" s="83">
        <v>22.245000000000001</v>
      </c>
    </row>
    <row r="19" spans="1:13" x14ac:dyDescent="0.35">
      <c r="A19" s="82">
        <v>16</v>
      </c>
      <c r="B19" s="60" t="s">
        <v>536</v>
      </c>
      <c r="C19" s="60" t="s">
        <v>537</v>
      </c>
      <c r="D19" s="60">
        <v>839</v>
      </c>
      <c r="E19" s="60" t="s">
        <v>538</v>
      </c>
      <c r="F19" s="81">
        <v>0.01</v>
      </c>
      <c r="G19" s="81">
        <v>7.0000000000000007E-2</v>
      </c>
      <c r="H19" s="60">
        <v>0</v>
      </c>
      <c r="I19" s="81">
        <v>0</v>
      </c>
      <c r="J19" s="60" t="s">
        <v>539</v>
      </c>
      <c r="K19" s="92" t="s">
        <v>540</v>
      </c>
      <c r="L19" s="60">
        <v>0</v>
      </c>
      <c r="M19" s="83">
        <v>18.917000000000002</v>
      </c>
    </row>
    <row r="20" spans="1:13" x14ac:dyDescent="0.35">
      <c r="A20" s="82">
        <v>17</v>
      </c>
      <c r="B20" s="60" t="s">
        <v>541</v>
      </c>
      <c r="C20" s="60" t="s">
        <v>504</v>
      </c>
      <c r="D20" s="60">
        <v>2.0099999999999998</v>
      </c>
      <c r="E20" s="60" t="s">
        <v>542</v>
      </c>
      <c r="F20" s="81">
        <v>0.01</v>
      </c>
      <c r="G20" s="81">
        <v>0.13</v>
      </c>
      <c r="H20" s="60" t="s">
        <v>543</v>
      </c>
      <c r="I20" s="81">
        <v>1.04</v>
      </c>
      <c r="J20" s="60">
        <v>0</v>
      </c>
      <c r="K20" s="92" t="s">
        <v>544</v>
      </c>
      <c r="L20" s="60">
        <v>0</v>
      </c>
      <c r="M20" s="83">
        <v>9.2550000000000008</v>
      </c>
    </row>
    <row r="21" spans="1:13" x14ac:dyDescent="0.35">
      <c r="A21" s="82">
        <v>18</v>
      </c>
      <c r="B21" s="60" t="s">
        <v>545</v>
      </c>
      <c r="C21" s="60" t="s">
        <v>546</v>
      </c>
      <c r="D21" s="60">
        <v>2</v>
      </c>
      <c r="E21" s="60">
        <v>8.5500000000000007</v>
      </c>
      <c r="F21" s="81">
        <v>0</v>
      </c>
      <c r="G21" s="81">
        <v>0</v>
      </c>
      <c r="H21" s="60">
        <v>0</v>
      </c>
      <c r="I21" s="81">
        <v>0</v>
      </c>
      <c r="J21" s="60" t="s">
        <v>547</v>
      </c>
      <c r="K21" s="92" t="s">
        <v>548</v>
      </c>
      <c r="L21" s="60" t="s">
        <v>549</v>
      </c>
      <c r="M21" s="83">
        <v>8.3390000000000004</v>
      </c>
    </row>
    <row r="22" spans="1:13" x14ac:dyDescent="0.35">
      <c r="A22" s="82">
        <v>19</v>
      </c>
      <c r="B22" s="60" t="s">
        <v>550</v>
      </c>
      <c r="C22" s="60" t="s">
        <v>551</v>
      </c>
      <c r="D22" s="60">
        <v>0</v>
      </c>
      <c r="E22" s="60">
        <v>0</v>
      </c>
      <c r="F22" s="81">
        <v>0</v>
      </c>
      <c r="G22" s="81">
        <v>0</v>
      </c>
      <c r="H22" s="60" t="s">
        <v>552</v>
      </c>
      <c r="I22" s="81">
        <v>1.02</v>
      </c>
      <c r="J22" s="60" t="s">
        <v>539</v>
      </c>
      <c r="K22" s="92" t="s">
        <v>553</v>
      </c>
      <c r="L22" s="60" t="s">
        <v>554</v>
      </c>
      <c r="M22" s="83">
        <v>7.7770000000000001</v>
      </c>
    </row>
    <row r="23" spans="1:13" x14ac:dyDescent="0.35">
      <c r="A23" s="82">
        <v>20</v>
      </c>
      <c r="B23" s="60" t="s">
        <v>555</v>
      </c>
      <c r="C23" s="60" t="s">
        <v>556</v>
      </c>
      <c r="D23" s="60">
        <v>2.056</v>
      </c>
      <c r="E23" s="60">
        <v>8</v>
      </c>
      <c r="F23" s="81">
        <v>0.01</v>
      </c>
      <c r="G23" s="81">
        <v>0.12</v>
      </c>
      <c r="H23" s="60" t="s">
        <v>557</v>
      </c>
      <c r="I23" s="81">
        <v>0.97</v>
      </c>
      <c r="J23" s="60">
        <v>0</v>
      </c>
      <c r="K23" s="92" t="s">
        <v>558</v>
      </c>
      <c r="L23" s="60">
        <v>0</v>
      </c>
      <c r="M23" s="83">
        <v>6.38</v>
      </c>
    </row>
    <row r="24" spans="1:13" x14ac:dyDescent="0.35">
      <c r="A24" s="82">
        <v>21</v>
      </c>
      <c r="B24" s="60" t="s">
        <v>559</v>
      </c>
      <c r="C24" s="60" t="s">
        <v>560</v>
      </c>
      <c r="D24" s="60">
        <v>760</v>
      </c>
      <c r="E24" s="60" t="s">
        <v>561</v>
      </c>
      <c r="F24" s="81">
        <v>0</v>
      </c>
      <c r="G24" s="81">
        <v>0.06</v>
      </c>
      <c r="H24" s="60">
        <v>0</v>
      </c>
      <c r="I24" s="81">
        <v>0</v>
      </c>
      <c r="J24" s="60">
        <v>0</v>
      </c>
      <c r="K24" s="92" t="s">
        <v>562</v>
      </c>
      <c r="L24" s="60">
        <v>0</v>
      </c>
      <c r="M24" s="83">
        <v>5.5730000000000004</v>
      </c>
    </row>
    <row r="25" spans="1:13" x14ac:dyDescent="0.35">
      <c r="A25" s="82">
        <v>22</v>
      </c>
      <c r="B25" s="60" t="s">
        <v>563</v>
      </c>
      <c r="C25" s="60" t="s">
        <v>564</v>
      </c>
      <c r="D25" s="60">
        <v>2.3730000000000002</v>
      </c>
      <c r="E25" s="60" t="s">
        <v>491</v>
      </c>
      <c r="F25" s="81">
        <v>0.04</v>
      </c>
      <c r="G25" s="81">
        <v>0.1</v>
      </c>
      <c r="H25" s="60">
        <v>0</v>
      </c>
      <c r="I25" s="81">
        <v>0</v>
      </c>
      <c r="J25" s="60" t="s">
        <v>547</v>
      </c>
      <c r="K25" s="92" t="s">
        <v>565</v>
      </c>
      <c r="L25" s="60" t="s">
        <v>566</v>
      </c>
      <c r="M25" s="83">
        <v>3.093</v>
      </c>
    </row>
    <row r="26" spans="1:13" x14ac:dyDescent="0.35">
      <c r="A26" s="82">
        <v>23</v>
      </c>
      <c r="B26" s="60" t="s">
        <v>567</v>
      </c>
      <c r="C26" s="60" t="s">
        <v>568</v>
      </c>
      <c r="D26" s="60">
        <v>2.0630000000000002</v>
      </c>
      <c r="E26" s="60" t="s">
        <v>569</v>
      </c>
      <c r="F26" s="81">
        <v>0.03</v>
      </c>
      <c r="G26" s="81">
        <v>0.08</v>
      </c>
      <c r="H26" s="60">
        <v>0</v>
      </c>
      <c r="I26" s="81">
        <v>0</v>
      </c>
      <c r="J26" s="60" t="s">
        <v>570</v>
      </c>
      <c r="K26" s="92" t="s">
        <v>571</v>
      </c>
      <c r="L26" s="60" t="s">
        <v>572</v>
      </c>
      <c r="M26" s="83">
        <v>2.4940000000000002</v>
      </c>
    </row>
    <row r="27" spans="1:13" x14ac:dyDescent="0.35">
      <c r="A27" s="82">
        <v>24</v>
      </c>
      <c r="B27" s="60" t="s">
        <v>573</v>
      </c>
      <c r="C27" s="60">
        <v>31</v>
      </c>
      <c r="D27" s="60">
        <v>2.8889999999999998</v>
      </c>
      <c r="E27" s="60" t="s">
        <v>574</v>
      </c>
      <c r="F27" s="81">
        <v>0.03</v>
      </c>
      <c r="G27" s="81">
        <v>0.12</v>
      </c>
      <c r="H27" s="60" t="s">
        <v>575</v>
      </c>
      <c r="I27" s="81">
        <v>1.24</v>
      </c>
      <c r="J27" s="60" t="s">
        <v>576</v>
      </c>
      <c r="K27" s="92" t="s">
        <v>577</v>
      </c>
      <c r="L27" s="60" t="s">
        <v>578</v>
      </c>
      <c r="M27" s="83">
        <v>2.492</v>
      </c>
    </row>
    <row r="28" spans="1:13" x14ac:dyDescent="0.35">
      <c r="A28" s="82">
        <v>25</v>
      </c>
      <c r="B28" s="60" t="s">
        <v>579</v>
      </c>
      <c r="C28" s="60" t="s">
        <v>580</v>
      </c>
      <c r="D28" s="60">
        <v>2.4319999999999999</v>
      </c>
      <c r="E28" s="60" t="s">
        <v>581</v>
      </c>
      <c r="F28" s="81">
        <v>0.05</v>
      </c>
      <c r="G28" s="81">
        <v>0.12</v>
      </c>
      <c r="H28" s="60" t="s">
        <v>582</v>
      </c>
      <c r="I28" s="81">
        <v>1</v>
      </c>
      <c r="J28" s="60" t="s">
        <v>547</v>
      </c>
      <c r="K28" s="92" t="s">
        <v>583</v>
      </c>
      <c r="L28" s="60" t="s">
        <v>584</v>
      </c>
      <c r="M28" s="83">
        <v>2.4159999999999999</v>
      </c>
    </row>
    <row r="29" spans="1:13" x14ac:dyDescent="0.35">
      <c r="A29" s="82">
        <v>26</v>
      </c>
      <c r="B29" s="60" t="s">
        <v>585</v>
      </c>
      <c r="C29" s="60" t="s">
        <v>586</v>
      </c>
      <c r="D29" s="60">
        <v>1.484</v>
      </c>
      <c r="E29" s="60">
        <v>11</v>
      </c>
      <c r="F29" s="81">
        <v>0.04</v>
      </c>
      <c r="G29" s="81">
        <v>0.13</v>
      </c>
      <c r="H29" s="60">
        <v>0</v>
      </c>
      <c r="I29" s="81">
        <v>0</v>
      </c>
      <c r="J29" s="60" t="s">
        <v>587</v>
      </c>
      <c r="K29" s="92" t="s">
        <v>588</v>
      </c>
      <c r="L29" s="60">
        <v>0</v>
      </c>
      <c r="M29" s="83">
        <v>2.1259999999999999</v>
      </c>
    </row>
    <row r="30" spans="1:13" x14ac:dyDescent="0.35">
      <c r="A30" s="82">
        <v>27</v>
      </c>
      <c r="B30" s="60" t="s">
        <v>589</v>
      </c>
      <c r="C30" s="60" t="s">
        <v>590</v>
      </c>
      <c r="D30" s="60">
        <v>1.98</v>
      </c>
      <c r="E30" s="60" t="s">
        <v>591</v>
      </c>
      <c r="F30" s="81">
        <v>0.03</v>
      </c>
      <c r="G30" s="81">
        <v>0.12</v>
      </c>
      <c r="H30" s="60" t="s">
        <v>592</v>
      </c>
      <c r="I30" s="81">
        <v>1.2</v>
      </c>
      <c r="J30" s="60" t="s">
        <v>593</v>
      </c>
      <c r="K30" s="92" t="s">
        <v>594</v>
      </c>
      <c r="L30" s="60" t="s">
        <v>595</v>
      </c>
      <c r="M30" s="83">
        <v>1.774</v>
      </c>
    </row>
    <row r="31" spans="1:13" x14ac:dyDescent="0.35">
      <c r="A31" s="82">
        <v>28</v>
      </c>
      <c r="B31" s="60" t="s">
        <v>596</v>
      </c>
      <c r="C31" s="60" t="s">
        <v>597</v>
      </c>
      <c r="D31" s="60">
        <v>7.1950000000000003</v>
      </c>
      <c r="E31" s="60">
        <v>6</v>
      </c>
      <c r="F31" s="81">
        <v>0.1</v>
      </c>
      <c r="G31" s="81">
        <v>0.28000000000000003</v>
      </c>
      <c r="H31" s="60">
        <v>0</v>
      </c>
      <c r="I31" s="81">
        <v>0</v>
      </c>
      <c r="J31" s="60">
        <v>0</v>
      </c>
      <c r="K31" s="92" t="s">
        <v>598</v>
      </c>
      <c r="L31" s="60" t="s">
        <v>599</v>
      </c>
      <c r="M31" s="83">
        <v>1.6419999999999999</v>
      </c>
    </row>
    <row r="32" spans="1:13" x14ac:dyDescent="0.35">
      <c r="A32" s="87">
        <v>29</v>
      </c>
      <c r="B32" s="88" t="s">
        <v>600</v>
      </c>
      <c r="C32" s="88">
        <v>14</v>
      </c>
      <c r="D32" s="88">
        <v>682</v>
      </c>
      <c r="E32" s="88" t="s">
        <v>601</v>
      </c>
      <c r="F32" s="89">
        <v>0.02</v>
      </c>
      <c r="G32" s="89">
        <v>7.0000000000000007E-2</v>
      </c>
      <c r="H32" s="88" t="s">
        <v>602</v>
      </c>
      <c r="I32" s="89">
        <v>1.1599999999999999</v>
      </c>
      <c r="J32" s="88">
        <v>0</v>
      </c>
      <c r="K32" s="93" t="s">
        <v>603</v>
      </c>
      <c r="L32" s="88" t="s">
        <v>604</v>
      </c>
      <c r="M32" s="90">
        <v>804</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86"/>
  <sheetViews>
    <sheetView topLeftCell="C1" zoomScaleNormal="100" workbookViewId="0">
      <selection activeCell="S3" sqref="S3"/>
    </sheetView>
  </sheetViews>
  <sheetFormatPr defaultRowHeight="14.5" x14ac:dyDescent="0.35"/>
  <cols>
    <col min="1" max="1" width="9.1796875" customWidth="1"/>
    <col min="2" max="2" width="3.81640625" customWidth="1"/>
    <col min="3" max="3" width="5.54296875" customWidth="1"/>
    <col min="4" max="4" width="8.453125" style="18" customWidth="1"/>
    <col min="5" max="5" width="10" bestFit="1" customWidth="1"/>
    <col min="6" max="6" width="6.81640625" customWidth="1"/>
    <col min="7" max="7" width="7.453125" customWidth="1"/>
    <col min="8" max="8" width="6.7265625" style="72" customWidth="1"/>
    <col min="9" max="9" width="7.81640625" style="68" bestFit="1" customWidth="1"/>
    <col min="10" max="10" width="13.26953125" style="22" customWidth="1"/>
    <col min="11" max="11" width="13.26953125" customWidth="1"/>
    <col min="13" max="13" width="15.1796875" customWidth="1"/>
    <col min="14" max="14" width="12" customWidth="1"/>
    <col min="15" max="15" width="11.1796875" bestFit="1" customWidth="1"/>
    <col min="16" max="16" width="10.1796875" bestFit="1" customWidth="1"/>
    <col min="18" max="18" width="10.54296875" bestFit="1" customWidth="1"/>
    <col min="19" max="20" width="11.54296875" bestFit="1" customWidth="1"/>
  </cols>
  <sheetData>
    <row r="1" spans="1:28" ht="23.5" x14ac:dyDescent="0.55000000000000004">
      <c r="A1" s="158" t="s">
        <v>1120</v>
      </c>
      <c r="N1">
        <v>2022</v>
      </c>
      <c r="O1">
        <v>2021</v>
      </c>
      <c r="P1">
        <v>2020</v>
      </c>
      <c r="Q1">
        <v>2019</v>
      </c>
    </row>
    <row r="2" spans="1:28" x14ac:dyDescent="0.35">
      <c r="A2" s="50" t="s">
        <v>75</v>
      </c>
      <c r="B2" s="51" t="s">
        <v>76</v>
      </c>
      <c r="C2" s="51" t="s">
        <v>77</v>
      </c>
      <c r="D2" s="52" t="s">
        <v>72</v>
      </c>
      <c r="E2" s="51" t="s">
        <v>78</v>
      </c>
      <c r="F2" s="51" t="s">
        <v>79</v>
      </c>
      <c r="G2" s="51" t="s">
        <v>74</v>
      </c>
      <c r="H2" s="73" t="s">
        <v>80</v>
      </c>
      <c r="I2" s="66" t="s">
        <v>418</v>
      </c>
      <c r="J2" s="53" t="s">
        <v>144</v>
      </c>
      <c r="K2" s="54" t="s">
        <v>89</v>
      </c>
      <c r="L2" t="s">
        <v>756</v>
      </c>
      <c r="M2" s="13" t="s">
        <v>141</v>
      </c>
      <c r="N2" s="15">
        <f>PS!M2+SUM(D:D)-SUM(O2:Q2)</f>
        <v>56974.942279999988</v>
      </c>
      <c r="O2" s="15">
        <v>62924</v>
      </c>
      <c r="P2" s="15">
        <v>8530.9500000000007</v>
      </c>
      <c r="Q2" s="17">
        <v>869.53</v>
      </c>
      <c r="T2" t="s">
        <v>278</v>
      </c>
    </row>
    <row r="3" spans="1:28" x14ac:dyDescent="0.35">
      <c r="A3" s="42"/>
      <c r="B3" s="14"/>
      <c r="C3" s="14"/>
      <c r="D3" s="16"/>
      <c r="E3" s="14"/>
      <c r="F3" s="14"/>
      <c r="G3" s="14"/>
      <c r="H3" s="71"/>
      <c r="I3" s="67"/>
      <c r="J3" s="24"/>
      <c r="K3" s="45"/>
      <c r="L3" t="s">
        <v>756</v>
      </c>
      <c r="M3" s="13" t="s">
        <v>142</v>
      </c>
      <c r="N3" s="13">
        <f>PS!M3+100+11+11+11+11+11+11+11+11+22+16.5</f>
        <v>397</v>
      </c>
      <c r="O3" s="13">
        <f>4.4+4.4+4.4+107+50+50+50+4.4+100+50+4.4+110+4.4+70-I114-I118-I122-I111-11-I109-I107+4.4+4.4+16.5+16.5+4.5*3+4.5+2.2+2.2</f>
        <v>3598.6</v>
      </c>
      <c r="P3" s="13">
        <f>4.4+4.4+4.4+4.4+4.4+4.4+4.4+4.4+4.4+4.4+4.4+54+50+4.4+4.4+4.4+4.4+4.4+4.4+4.4+4.4+356+4.4</f>
        <v>548</v>
      </c>
      <c r="Q3" s="12">
        <f>17.6+4.4+4.4+4.4+4.4+4.4+4.4+4.4</f>
        <v>48.399999999999991</v>
      </c>
      <c r="S3" s="28" t="s">
        <v>1121</v>
      </c>
      <c r="T3" s="2" t="s">
        <v>281</v>
      </c>
    </row>
    <row r="4" spans="1:28" x14ac:dyDescent="0.35">
      <c r="A4" s="43"/>
      <c r="B4" s="14"/>
      <c r="C4" s="14"/>
      <c r="D4" s="16"/>
      <c r="E4" s="14"/>
      <c r="F4" s="14"/>
      <c r="G4" s="14"/>
      <c r="H4" s="97"/>
      <c r="I4" s="67"/>
      <c r="J4" s="98"/>
      <c r="K4" s="45"/>
      <c r="L4" t="s">
        <v>756</v>
      </c>
      <c r="M4" s="13" t="s">
        <v>140</v>
      </c>
      <c r="N4" s="21">
        <f>SUM(G:G)-O4-P4</f>
        <v>123500</v>
      </c>
      <c r="O4" s="21">
        <v>25500</v>
      </c>
      <c r="P4" s="21">
        <v>228070</v>
      </c>
      <c r="Q4" s="20">
        <f>95930+1300</f>
        <v>97230</v>
      </c>
      <c r="U4" s="2" t="s">
        <v>390</v>
      </c>
    </row>
    <row r="5" spans="1:28" x14ac:dyDescent="0.35">
      <c r="A5" s="43"/>
      <c r="B5" s="14"/>
      <c r="C5" s="14"/>
      <c r="D5" s="16"/>
      <c r="E5" s="14"/>
      <c r="F5" s="14"/>
      <c r="G5" s="14"/>
      <c r="H5" s="97"/>
      <c r="I5" s="67"/>
      <c r="J5" s="98"/>
      <c r="K5" s="45"/>
      <c r="L5" t="s">
        <v>756</v>
      </c>
      <c r="M5" s="13" t="s">
        <v>143</v>
      </c>
      <c r="N5" s="21">
        <f>O7</f>
        <v>317246.80322114832</v>
      </c>
      <c r="O5" s="21">
        <f>250000</f>
        <v>250000</v>
      </c>
      <c r="P5" s="21">
        <f>100500</f>
        <v>100500</v>
      </c>
      <c r="Q5" s="20">
        <v>95930</v>
      </c>
      <c r="U5" s="2" t="s">
        <v>279</v>
      </c>
    </row>
    <row r="6" spans="1:28" x14ac:dyDescent="0.35">
      <c r="A6" s="43"/>
      <c r="B6" s="14"/>
      <c r="C6" s="14"/>
      <c r="D6" s="16"/>
      <c r="E6" s="14"/>
      <c r="F6" s="14"/>
      <c r="G6" s="14"/>
      <c r="H6" s="97"/>
      <c r="I6" s="67"/>
      <c r="J6" s="98"/>
      <c r="K6" s="45"/>
      <c r="L6" t="s">
        <v>756</v>
      </c>
      <c r="M6" s="13" t="s">
        <v>144</v>
      </c>
      <c r="N6" s="21">
        <f ca="1">-N9+0*J88+PS!M6*0+N12+J79+J75+J77+5080+J73+J71+J69+J67+J65+J63+J61+J58+J56+J50+J52+J54+J48+J46+J44+J42+J40+8230+J38+J37+J35+J36+J29+J34+J33+J32+J31+J28+J26+J24+1000+J22+J10+J18+J16+J14+J12</f>
        <v>-45994.325749999422</v>
      </c>
      <c r="O6" s="21">
        <f>-O9+1*J88+29000-16000-800-22000-500-2200+7900+9200+4700+1000+500+7900+J137+J135+J133+11000+J129+J131+J127+J125+J123+J121+J119+J117+J115+J113+274+J112-5000+J110+J108+J104+J106+I107+1850+J102+J100+J98+J96+J95+J93+J91+J90+J86</f>
        <v>41746.803221148322</v>
      </c>
      <c r="P6" s="36">
        <f>2300+7000-250+900+400+640+3300+13100-1105+7500</f>
        <v>33785</v>
      </c>
      <c r="Q6" s="20">
        <v>5570</v>
      </c>
      <c r="V6" s="2" t="s">
        <v>747</v>
      </c>
    </row>
    <row r="7" spans="1:28" x14ac:dyDescent="0.35">
      <c r="A7" s="43"/>
      <c r="B7" s="14"/>
      <c r="C7" s="14"/>
      <c r="D7" s="16"/>
      <c r="E7" s="14"/>
      <c r="F7" s="14"/>
      <c r="G7" s="14"/>
      <c r="H7" s="97"/>
      <c r="I7" s="67"/>
      <c r="J7" s="98"/>
      <c r="K7" s="45"/>
      <c r="L7" t="s">
        <v>756</v>
      </c>
      <c r="M7" s="13" t="s">
        <v>387</v>
      </c>
      <c r="N7" s="36">
        <f ca="1">SUM(N4:N6)</f>
        <v>394752.47747114889</v>
      </c>
      <c r="O7" s="36">
        <f>SUM(O4:O6)</f>
        <v>317246.80322114832</v>
      </c>
      <c r="P7" s="12"/>
      <c r="Q7" s="12"/>
      <c r="S7" s="18"/>
      <c r="V7" s="2" t="s">
        <v>280</v>
      </c>
    </row>
    <row r="8" spans="1:28" x14ac:dyDescent="0.35">
      <c r="A8" s="44">
        <v>44754</v>
      </c>
      <c r="B8" s="12"/>
      <c r="C8" s="12"/>
      <c r="D8" s="17"/>
      <c r="E8" s="12"/>
      <c r="F8" s="12"/>
      <c r="G8" s="12">
        <f>130000+141000-125000</f>
        <v>146000</v>
      </c>
      <c r="H8" s="97"/>
      <c r="I8" s="67"/>
      <c r="J8" s="161"/>
      <c r="K8" s="49" t="s">
        <v>1302</v>
      </c>
      <c r="L8" t="s">
        <v>756</v>
      </c>
      <c r="M8" s="13" t="s">
        <v>407</v>
      </c>
      <c r="N8" s="65">
        <f ca="1">ROUNDDOWN((N6/(N4+N5)),3)</f>
        <v>-0.104</v>
      </c>
      <c r="O8" s="65">
        <f>ROUNDDOWN((O6/(O4+O5)),3)</f>
        <v>0.151</v>
      </c>
      <c r="P8" s="65">
        <f>ROUNDDOWN((P6/(P4+P5)),3)</f>
        <v>0.10199999999999999</v>
      </c>
      <c r="Q8" s="12">
        <f>SUMIF(C:C,"PPC",F:F)</f>
        <v>0</v>
      </c>
      <c r="S8" s="37"/>
      <c r="T8" s="2" t="s">
        <v>282</v>
      </c>
    </row>
    <row r="9" spans="1:28" x14ac:dyDescent="0.35">
      <c r="A9" s="44">
        <v>44748</v>
      </c>
      <c r="B9" s="12"/>
      <c r="C9" s="12"/>
      <c r="D9" s="17"/>
      <c r="E9" s="12"/>
      <c r="F9" s="12"/>
      <c r="G9" s="12">
        <v>-144000</v>
      </c>
      <c r="H9" s="97"/>
      <c r="I9" s="67"/>
      <c r="J9" s="161"/>
      <c r="K9" s="49" t="s">
        <v>1271</v>
      </c>
      <c r="L9" t="s">
        <v>756</v>
      </c>
      <c r="M9" s="13" t="s">
        <v>411</v>
      </c>
      <c r="N9" s="14">
        <v>12000</v>
      </c>
      <c r="O9" s="14">
        <f>4500+10500+20000+5000+10000+67000</f>
        <v>117000</v>
      </c>
      <c r="P9" s="14">
        <f>SUMIF(C:C,"SSI",F:F)</f>
        <v>0</v>
      </c>
      <c r="Q9" s="12"/>
      <c r="S9" s="103">
        <f>26.5*0.5*15</f>
        <v>198.75</v>
      </c>
      <c r="T9" s="2" t="s">
        <v>287</v>
      </c>
    </row>
    <row r="10" spans="1:28" x14ac:dyDescent="0.35">
      <c r="A10" s="43">
        <f ca="1">TODAY()</f>
        <v>44764</v>
      </c>
      <c r="B10" s="14" t="s">
        <v>90</v>
      </c>
      <c r="C10" s="14" t="s">
        <v>907</v>
      </c>
      <c r="D10" s="16">
        <f>-F10*E10*0.0025</f>
        <v>356.25</v>
      </c>
      <c r="E10" s="14">
        <v>14.25</v>
      </c>
      <c r="F10" s="14">
        <v>-10000</v>
      </c>
      <c r="G10" s="14"/>
      <c r="H10" s="97">
        <f ca="1">Table1[[#This Row],[Result]]/(E11*F11)</f>
        <v>-0.11555565978736709</v>
      </c>
      <c r="I10" s="69">
        <f ca="1">Table1[[#This Row],[Date]]-A11</f>
        <v>32</v>
      </c>
      <c r="J10" s="162">
        <f ca="1">-Table1[[#This Row],[Price]]*Table1[[#This Row],[Volume]]-E11*F11-Table1[[#This Row],[Commission]]-D11+I11</f>
        <v>-18477.349999999999</v>
      </c>
      <c r="K10" s="121" t="s">
        <v>1272</v>
      </c>
      <c r="L10" t="s">
        <v>756</v>
      </c>
      <c r="M10" s="38" t="s">
        <v>408</v>
      </c>
      <c r="N10" s="38"/>
      <c r="O10" s="14">
        <f>SUMIF(C:C,"TDH",F:F)</f>
        <v>0</v>
      </c>
      <c r="P10" s="14">
        <v>0</v>
      </c>
      <c r="Q10" s="12">
        <v>2490</v>
      </c>
      <c r="S10" s="37"/>
      <c r="T10" s="2" t="s">
        <v>288</v>
      </c>
    </row>
    <row r="11" spans="1:28" x14ac:dyDescent="0.35">
      <c r="A11" s="43">
        <v>44732</v>
      </c>
      <c r="B11" s="14" t="s">
        <v>62</v>
      </c>
      <c r="C11" s="14" t="s">
        <v>907</v>
      </c>
      <c r="D11" s="16">
        <f>F11*E11*0.0015</f>
        <v>239.85</v>
      </c>
      <c r="E11" s="14">
        <f>ROUNDUP((10*16.3+10*16.35+10*16.15+(13*10*0+1*15.125*10))/40,2)</f>
        <v>15.99</v>
      </c>
      <c r="F11" s="14">
        <v>10000</v>
      </c>
      <c r="G11" s="14"/>
      <c r="H11" s="97"/>
      <c r="I11" s="67">
        <f ca="1">-105/360*(I10+1)*Table1[[#This Row],[Notes]]</f>
        <v>-481.25</v>
      </c>
      <c r="J11" s="98">
        <f>Table1[[#This Row],[Volume]]*Table1[[#This Row],[Price]]</f>
        <v>159900</v>
      </c>
      <c r="K11" s="109">
        <v>50</v>
      </c>
      <c r="L11" t="s">
        <v>756</v>
      </c>
      <c r="M11" s="38" t="s">
        <v>326</v>
      </c>
      <c r="N11" s="38"/>
      <c r="O11" s="14">
        <f>SUMIF(C:C,"KBC",F:F)</f>
        <v>0</v>
      </c>
      <c r="P11" s="39">
        <f>SUMIF(C:C,"ITA",F:F)</f>
        <v>-200</v>
      </c>
      <c r="Q11" s="40"/>
      <c r="S11" s="18"/>
      <c r="T11" s="2"/>
      <c r="U11" s="2" t="s">
        <v>289</v>
      </c>
    </row>
    <row r="12" spans="1:28" x14ac:dyDescent="0.35">
      <c r="A12" s="43">
        <f ca="1">TODAY()</f>
        <v>44764</v>
      </c>
      <c r="B12" s="14" t="s">
        <v>90</v>
      </c>
      <c r="C12" s="14" t="s">
        <v>907</v>
      </c>
      <c r="D12" s="16">
        <f>-F12*E12*0.0025</f>
        <v>712.5</v>
      </c>
      <c r="E12" s="14">
        <v>14.25</v>
      </c>
      <c r="F12" s="14">
        <v>-20000</v>
      </c>
      <c r="G12" s="14"/>
      <c r="H12" s="97">
        <f>Table1[[#This Row],[Result]]/(E13*F13)</f>
        <v>2.5481981981981983E-2</v>
      </c>
      <c r="I12" s="69">
        <f ca="1">Table1[[#This Row],[Date]]-A13</f>
        <v>10</v>
      </c>
      <c r="J12" s="162">
        <f>-Table1[[#This Row],[Price]]*Table1[[#This Row],[Volume]]-E13*F13-Table1[[#This Row],[Commission]]-D13+I13</f>
        <v>7071.25</v>
      </c>
      <c r="K12" s="121" t="s">
        <v>1300</v>
      </c>
      <c r="L12" t="s">
        <v>756</v>
      </c>
      <c r="M12" s="13" t="s">
        <v>1176</v>
      </c>
      <c r="N12" s="13">
        <f>4000-5000</f>
        <v>-1000</v>
      </c>
      <c r="O12" s="13">
        <f>2+3-4</f>
        <v>1</v>
      </c>
      <c r="P12" s="14">
        <f>0.4+1.2+0.7+2+1.2+3.2+2</f>
        <v>10.7</v>
      </c>
      <c r="Q12" s="12"/>
      <c r="T12" s="2"/>
      <c r="U12" s="2" t="s">
        <v>290</v>
      </c>
    </row>
    <row r="13" spans="1:28" x14ac:dyDescent="0.35">
      <c r="A13" s="43">
        <v>44754</v>
      </c>
      <c r="B13" s="14" t="s">
        <v>62</v>
      </c>
      <c r="C13" s="14" t="s">
        <v>907</v>
      </c>
      <c r="D13" s="16">
        <f>F13*E13*0.0015</f>
        <v>416.25</v>
      </c>
      <c r="E13" s="14">
        <f>(13.5+14.25)/2</f>
        <v>13.875</v>
      </c>
      <c r="F13" s="14">
        <v>20000</v>
      </c>
      <c r="G13" s="14"/>
      <c r="H13" s="97"/>
      <c r="I13" s="67">
        <v>700</v>
      </c>
      <c r="J13" s="98">
        <f>Table1[[#This Row],[Volume]]*Table1[[#This Row],[Price]]</f>
        <v>277500</v>
      </c>
      <c r="K13" s="109"/>
      <c r="L13" t="s">
        <v>756</v>
      </c>
      <c r="M13" s="38"/>
      <c r="N13" s="163"/>
      <c r="O13" s="34"/>
      <c r="P13" s="31"/>
      <c r="S13" s="132"/>
      <c r="T13" s="31"/>
      <c r="U13" s="31"/>
      <c r="V13" s="31"/>
      <c r="W13" s="31"/>
      <c r="X13" s="31"/>
      <c r="Y13" s="31"/>
      <c r="Z13" s="31"/>
      <c r="AA13" s="31"/>
      <c r="AB13" s="31"/>
    </row>
    <row r="14" spans="1:28" x14ac:dyDescent="0.35">
      <c r="A14" s="43">
        <v>44748</v>
      </c>
      <c r="B14" s="14" t="s">
        <v>90</v>
      </c>
      <c r="C14" s="14" t="s">
        <v>907</v>
      </c>
      <c r="D14" s="16">
        <f>-F14*E14*0.0025</f>
        <v>1031.25</v>
      </c>
      <c r="E14" s="14">
        <f>(2*13.775+13.7)/3</f>
        <v>13.75</v>
      </c>
      <c r="F14" s="14">
        <v>-30000</v>
      </c>
      <c r="G14" s="14"/>
      <c r="H14" s="97">
        <f>Table1[[#This Row],[Result]]/(E15*F15)</f>
        <v>-0.13741457023060796</v>
      </c>
      <c r="I14" s="69">
        <f>Table1[[#This Row],[Date]]-A15</f>
        <v>2</v>
      </c>
      <c r="J14" s="107">
        <f>-Table1[[#This Row],[Price]]*Table1[[#This Row],[Volume]]-E15*F15-Table1[[#This Row],[Commission]]-D15+I15</f>
        <v>-65546.75</v>
      </c>
      <c r="K14" s="121" t="s">
        <v>1265</v>
      </c>
      <c r="L14" t="s">
        <v>756</v>
      </c>
      <c r="M14" s="33" t="s">
        <v>716</v>
      </c>
      <c r="N14" s="33"/>
      <c r="O14" s="34"/>
      <c r="P14" s="31">
        <f>6%/12*275000*10</f>
        <v>13750</v>
      </c>
      <c r="R14" s="122" t="s">
        <v>894</v>
      </c>
      <c r="S14" s="132"/>
      <c r="T14" s="130"/>
      <c r="U14" s="31"/>
      <c r="V14" s="31"/>
      <c r="W14" s="31"/>
      <c r="X14" s="31"/>
      <c r="Y14" s="31"/>
      <c r="Z14" s="31"/>
      <c r="AA14" s="31"/>
      <c r="AB14" s="31"/>
    </row>
    <row r="15" spans="1:28" x14ac:dyDescent="0.35">
      <c r="A15" s="43">
        <v>44746</v>
      </c>
      <c r="B15" s="14" t="s">
        <v>62</v>
      </c>
      <c r="C15" s="14" t="s">
        <v>907</v>
      </c>
      <c r="D15" s="16">
        <f>F15*E15*0.0015</f>
        <v>715.5</v>
      </c>
      <c r="E15" s="14">
        <v>15.9</v>
      </c>
      <c r="F15" s="14">
        <v>30000</v>
      </c>
      <c r="G15" s="14"/>
      <c r="H15" s="97"/>
      <c r="I15" s="67">
        <v>700</v>
      </c>
      <c r="J15" s="98">
        <f>Table1[[#This Row],[Volume]]*Table1[[#This Row],[Price]]</f>
        <v>477000</v>
      </c>
      <c r="K15" s="109"/>
      <c r="L15" t="s">
        <v>756</v>
      </c>
      <c r="M15" s="33" t="s">
        <v>899</v>
      </c>
      <c r="N15" s="31"/>
      <c r="O15" s="31"/>
      <c r="P15" s="31">
        <f>6%/12*450000/30</f>
        <v>75</v>
      </c>
      <c r="R15" t="s">
        <v>895</v>
      </c>
      <c r="S15" s="133"/>
      <c r="T15" s="31"/>
      <c r="U15" s="31"/>
      <c r="V15" s="31"/>
      <c r="W15" s="31"/>
      <c r="X15" s="31"/>
      <c r="Y15" s="31"/>
      <c r="Z15" s="31"/>
      <c r="AA15" s="31"/>
      <c r="AB15" s="31"/>
    </row>
    <row r="16" spans="1:28" x14ac:dyDescent="0.35">
      <c r="A16" s="43">
        <v>44743</v>
      </c>
      <c r="B16" s="14" t="s">
        <v>90</v>
      </c>
      <c r="C16" s="14" t="s">
        <v>907</v>
      </c>
      <c r="D16" s="16">
        <f>-F16*E16*0.0025</f>
        <v>184.375</v>
      </c>
      <c r="E16" s="14">
        <v>14.75</v>
      </c>
      <c r="F16" s="14">
        <v>-5000</v>
      </c>
      <c r="G16" s="14"/>
      <c r="H16" s="97">
        <f>Table1[[#This Row],[Result]]/(E17*F17)</f>
        <v>2.3804878048780488E-2</v>
      </c>
      <c r="I16" s="69">
        <f>Table1[[#This Row],[Date]]-A17</f>
        <v>0</v>
      </c>
      <c r="J16" s="105">
        <f>-Table1[[#This Row],[Price]]*Table1[[#This Row],[Volume]]-E17*F17-Table1[[#This Row],[Commission]]-D17+I17</f>
        <v>1708</v>
      </c>
      <c r="K16" s="121" t="s">
        <v>1259</v>
      </c>
      <c r="L16" t="s">
        <v>756</v>
      </c>
      <c r="M16" s="33"/>
      <c r="N16" s="31"/>
      <c r="O16" s="31"/>
      <c r="P16" s="31"/>
      <c r="S16" s="133"/>
      <c r="T16" s="31"/>
      <c r="U16" s="31"/>
      <c r="V16" s="31"/>
      <c r="W16" s="31"/>
      <c r="X16" s="31"/>
      <c r="Y16" s="31"/>
      <c r="Z16" s="31"/>
      <c r="AA16" s="31"/>
      <c r="AB16" s="31"/>
    </row>
    <row r="17" spans="1:28" x14ac:dyDescent="0.35">
      <c r="A17" s="43">
        <v>44743</v>
      </c>
      <c r="B17" s="14" t="s">
        <v>62</v>
      </c>
      <c r="C17" s="14" t="s">
        <v>907</v>
      </c>
      <c r="D17" s="16">
        <f>F17*E17*0.0015</f>
        <v>107.625</v>
      </c>
      <c r="E17" s="14">
        <v>14.35</v>
      </c>
      <c r="F17" s="14">
        <v>5000</v>
      </c>
      <c r="G17" s="14"/>
      <c r="H17" s="97"/>
      <c r="I17" s="67"/>
      <c r="J17" s="98">
        <f>Table1[[#This Row],[Volume]]*Table1[[#This Row],[Price]]</f>
        <v>71750</v>
      </c>
      <c r="K17" s="109"/>
      <c r="L17" t="s">
        <v>756</v>
      </c>
      <c r="M17" s="33" t="s">
        <v>1201</v>
      </c>
      <c r="N17" s="31" t="s">
        <v>1202</v>
      </c>
      <c r="O17" s="31"/>
      <c r="P17" s="31"/>
      <c r="S17" s="133"/>
      <c r="T17" s="134"/>
      <c r="U17" s="31"/>
      <c r="V17" s="31"/>
      <c r="W17" s="31"/>
      <c r="X17" s="31"/>
      <c r="Y17" s="31"/>
      <c r="Z17" s="31"/>
      <c r="AA17" s="31"/>
      <c r="AB17" s="31"/>
    </row>
    <row r="18" spans="1:28" x14ac:dyDescent="0.35">
      <c r="A18" s="43">
        <v>44741</v>
      </c>
      <c r="B18" s="14" t="s">
        <v>90</v>
      </c>
      <c r="C18" s="14" t="s">
        <v>907</v>
      </c>
      <c r="D18" s="16">
        <f>-F18*E18*0.0025</f>
        <v>424.875</v>
      </c>
      <c r="E18" s="14">
        <v>15.45</v>
      </c>
      <c r="F18" s="14">
        <v>-11000</v>
      </c>
      <c r="G18" s="14"/>
      <c r="H18" s="97">
        <f>Table1[[#This Row],[Result]]/(E19*F19)</f>
        <v>2.4280586236193714E-2</v>
      </c>
      <c r="I18" s="69">
        <f>Table1[[#This Row],[Date]]-A19</f>
        <v>9</v>
      </c>
      <c r="J18" s="105">
        <f>-Table1[[#This Row],[Price]]*Table1[[#This Row],[Volume]]-E19*F19-Table1[[#This Row],[Commission]]-D19+I19</f>
        <v>4000.9549999999999</v>
      </c>
      <c r="K18" s="121" t="s">
        <v>1248</v>
      </c>
      <c r="L18" t="s">
        <v>756</v>
      </c>
      <c r="M18" s="33" t="s">
        <v>1127</v>
      </c>
      <c r="N18" s="31" t="s">
        <v>1195</v>
      </c>
      <c r="O18" s="31"/>
      <c r="P18" s="31"/>
      <c r="S18" s="133"/>
      <c r="T18" s="135"/>
      <c r="U18" s="31"/>
    </row>
    <row r="19" spans="1:28" x14ac:dyDescent="0.35">
      <c r="A19" s="43">
        <v>44732</v>
      </c>
      <c r="B19" s="14" t="s">
        <v>62</v>
      </c>
      <c r="C19" s="14" t="s">
        <v>907</v>
      </c>
      <c r="D19" s="16">
        <f>F19*E19*0.0015</f>
        <v>247.17000000000002</v>
      </c>
      <c r="E19" s="14">
        <f>ROUNDUP(((14.95*10+1*15.25)*1+0*10*16.27)/11,2)</f>
        <v>14.98</v>
      </c>
      <c r="F19" s="14">
        <v>11000</v>
      </c>
      <c r="G19" s="14"/>
      <c r="H19" s="97"/>
      <c r="I19" s="67">
        <v>-497</v>
      </c>
      <c r="J19" s="98">
        <f>Table1[[#This Row],[Volume]]*Table1[[#This Row],[Price]]</f>
        <v>164780</v>
      </c>
      <c r="K19" s="109"/>
      <c r="L19" t="s">
        <v>756</v>
      </c>
      <c r="M19" s="33"/>
      <c r="N19" s="31"/>
      <c r="O19" s="31"/>
      <c r="P19" s="31"/>
      <c r="S19" s="133"/>
      <c r="T19" s="135"/>
    </row>
    <row r="20" spans="1:28" x14ac:dyDescent="0.35">
      <c r="A20" s="43">
        <v>44735</v>
      </c>
      <c r="B20" s="14"/>
      <c r="C20" s="14"/>
      <c r="D20" s="16"/>
      <c r="E20" s="14"/>
      <c r="F20" s="14"/>
      <c r="G20" s="14">
        <f>8800+7200+7000+5500+5000</f>
        <v>33500</v>
      </c>
      <c r="H20" s="97"/>
      <c r="I20" s="67"/>
      <c r="J20" s="98"/>
      <c r="K20" s="45" t="s">
        <v>1227</v>
      </c>
      <c r="L20" t="s">
        <v>756</v>
      </c>
      <c r="M20" s="33"/>
      <c r="N20" s="31"/>
      <c r="O20" s="31"/>
      <c r="P20" s="31"/>
      <c r="S20" s="133"/>
      <c r="T20" s="31"/>
    </row>
    <row r="21" spans="1:28" x14ac:dyDescent="0.35">
      <c r="A21" s="43">
        <v>44734</v>
      </c>
      <c r="B21" s="14"/>
      <c r="C21" s="14"/>
      <c r="D21" s="16"/>
      <c r="E21" s="14"/>
      <c r="F21" s="14"/>
      <c r="G21" s="14">
        <v>4500</v>
      </c>
      <c r="H21" s="97"/>
      <c r="I21" s="67"/>
      <c r="J21" s="98"/>
      <c r="K21" s="45" t="s">
        <v>1216</v>
      </c>
      <c r="L21" t="s">
        <v>756</v>
      </c>
      <c r="M21" s="33" t="s">
        <v>1303</v>
      </c>
      <c r="N21" s="31" t="s">
        <v>1306</v>
      </c>
      <c r="O21" s="31"/>
      <c r="P21" s="31"/>
      <c r="S21" s="133"/>
      <c r="T21" s="31"/>
    </row>
    <row r="22" spans="1:28" x14ac:dyDescent="0.35">
      <c r="A22" s="43">
        <v>44714</v>
      </c>
      <c r="B22" s="14" t="s">
        <v>90</v>
      </c>
      <c r="C22" s="14" t="s">
        <v>258</v>
      </c>
      <c r="D22" s="16">
        <f>-F22*E22*0.0025</f>
        <v>120</v>
      </c>
      <c r="E22" s="14">
        <v>24</v>
      </c>
      <c r="F22" s="14">
        <v>-2000</v>
      </c>
      <c r="G22" s="14"/>
      <c r="H22" s="71">
        <f>Table1[[#This Row],[Result]]/(E23*F23)</f>
        <v>-1.2243801652892563E-2</v>
      </c>
      <c r="I22" s="77">
        <f>Table1[[#This Row],[Date]]-A23</f>
        <v>6</v>
      </c>
      <c r="J22" s="59">
        <f>-Table1[[#This Row],[Price]]*Table1[[#This Row],[Volume]]-E23*F23-Table1[[#This Row],[Commission]]-D23+I23</f>
        <v>-592.6</v>
      </c>
      <c r="K22" s="45" t="s">
        <v>1143</v>
      </c>
      <c r="L22" t="s">
        <v>756</v>
      </c>
      <c r="M22" s="33" t="s">
        <v>1299</v>
      </c>
      <c r="N22" s="31" t="s">
        <v>1301</v>
      </c>
      <c r="O22" s="31"/>
      <c r="P22" s="31"/>
      <c r="S22" s="133"/>
      <c r="T22" s="31"/>
    </row>
    <row r="23" spans="1:28" x14ac:dyDescent="0.35">
      <c r="A23" s="43">
        <v>44708</v>
      </c>
      <c r="B23" s="14" t="s">
        <v>62</v>
      </c>
      <c r="C23" s="14" t="s">
        <v>258</v>
      </c>
      <c r="D23" s="16">
        <f>F23*E23*0.0015</f>
        <v>72.600000000000009</v>
      </c>
      <c r="E23" s="14">
        <v>24.2</v>
      </c>
      <c r="F23" s="14">
        <v>2000</v>
      </c>
      <c r="G23" s="14"/>
      <c r="H23" s="71"/>
      <c r="I23" s="67">
        <f>-105/360*(I22+1)*Table1[[#This Row],[Notes]]</f>
        <v>0</v>
      </c>
      <c r="J23" s="24">
        <f>Table1[[#This Row],[Volume]]*Table1[[#This Row],[Price]]</f>
        <v>48400</v>
      </c>
      <c r="K23" s="109"/>
      <c r="L23" t="s">
        <v>756</v>
      </c>
      <c r="M23" s="33" t="s">
        <v>1269</v>
      </c>
      <c r="N23" s="31" t="s">
        <v>1270</v>
      </c>
      <c r="O23" s="31"/>
      <c r="P23" s="31"/>
      <c r="S23" s="133"/>
      <c r="T23" s="31"/>
    </row>
    <row r="24" spans="1:28" x14ac:dyDescent="0.35">
      <c r="A24" s="43">
        <v>44705</v>
      </c>
      <c r="B24" s="14" t="s">
        <v>90</v>
      </c>
      <c r="C24" s="14" t="s">
        <v>907</v>
      </c>
      <c r="D24" s="16">
        <f>-F24*E24*0.0025</f>
        <v>1978.7</v>
      </c>
      <c r="E24" s="14">
        <f>ROUNDDOWN((30*16.7+10*16.95+7*17.3)/47,2)</f>
        <v>16.84</v>
      </c>
      <c r="F24" s="14">
        <v>-47000</v>
      </c>
      <c r="G24" s="14"/>
      <c r="H24" s="71">
        <f>Table1[[#This Row],[Result]]/(E25*F25)</f>
        <v>1.8087105451766932E-2</v>
      </c>
      <c r="I24" s="77">
        <f>Table1[[#This Row],[Date]]-A25</f>
        <v>6</v>
      </c>
      <c r="J24" s="61">
        <f>-Table1[[#This Row],[Price]]*Table1[[#This Row],[Volume]]-E25*F25-Table1[[#This Row],[Commission]]-D25+I25</f>
        <v>13997.647083333333</v>
      </c>
      <c r="K24" s="121" t="s">
        <v>1062</v>
      </c>
      <c r="L24" t="s">
        <v>756</v>
      </c>
      <c r="M24" s="33" t="s">
        <v>1264</v>
      </c>
      <c r="N24" s="31" t="s">
        <v>1266</v>
      </c>
      <c r="O24" s="31"/>
      <c r="P24" s="31"/>
      <c r="S24" s="133"/>
      <c r="T24" s="31"/>
    </row>
    <row r="25" spans="1:28" x14ac:dyDescent="0.35">
      <c r="A25" s="43">
        <v>44699</v>
      </c>
      <c r="B25" s="14" t="s">
        <v>62</v>
      </c>
      <c r="C25" s="14" t="s">
        <v>907</v>
      </c>
      <c r="D25" s="16">
        <f>F25*E25*0.0015</f>
        <v>1160.8530000000001</v>
      </c>
      <c r="E25" s="14">
        <v>16.466000000000001</v>
      </c>
      <c r="F25" s="14">
        <f>47000-16000*0</f>
        <v>47000</v>
      </c>
      <c r="G25" s="14"/>
      <c r="H25" s="71"/>
      <c r="I25" s="67">
        <f>-105/360*(I24+1)*Table1[[#This Row],[Notes]]</f>
        <v>-440.79991666666683</v>
      </c>
      <c r="J25" s="24">
        <f>Table1[[#This Row],[Volume]]*Table1[[#This Row],[Price]]</f>
        <v>773902</v>
      </c>
      <c r="K25" s="109">
        <f>Table1[[#This Row],[Result]]/1000-558</f>
        <v>215.90200000000004</v>
      </c>
      <c r="L25" t="s">
        <v>756</v>
      </c>
      <c r="M25" s="33" t="s">
        <v>1260</v>
      </c>
      <c r="N25" s="31" t="s">
        <v>1263</v>
      </c>
      <c r="O25" s="31"/>
      <c r="P25" s="31"/>
      <c r="S25" s="133"/>
      <c r="T25" s="31"/>
    </row>
    <row r="26" spans="1:28" x14ac:dyDescent="0.35">
      <c r="A26" s="43">
        <v>44692</v>
      </c>
      <c r="B26" s="14" t="s">
        <v>90</v>
      </c>
      <c r="C26" s="14" t="s">
        <v>907</v>
      </c>
      <c r="D26" s="16">
        <f>-F26*E26*0.0025</f>
        <v>226.25</v>
      </c>
      <c r="E26" s="14">
        <v>18.100000000000001</v>
      </c>
      <c r="F26" s="14">
        <v>-5000</v>
      </c>
      <c r="G26" s="14"/>
      <c r="H26" s="71">
        <f>Table1[[#This Row],[Result]]/(E27*F27)</f>
        <v>9.9705882352941182E-3</v>
      </c>
      <c r="I26" s="77">
        <f>Table1[[#This Row],[Date]]-A27</f>
        <v>2</v>
      </c>
      <c r="J26" s="61">
        <f>-Table1[[#This Row],[Price]]*Table1[[#This Row],[Volume]]-E27*F27-Table1[[#This Row],[Commission]]-D27+I27</f>
        <v>889.875</v>
      </c>
      <c r="K26" s="121" t="s">
        <v>1030</v>
      </c>
      <c r="L26" t="s">
        <v>756</v>
      </c>
      <c r="M26" s="33" t="s">
        <v>1252</v>
      </c>
      <c r="N26" s="31" t="s">
        <v>1255</v>
      </c>
      <c r="O26" s="31"/>
      <c r="P26" s="31"/>
      <c r="S26" s="133"/>
      <c r="T26" s="31"/>
    </row>
    <row r="27" spans="1:28" x14ac:dyDescent="0.35">
      <c r="A27" s="43">
        <v>44690</v>
      </c>
      <c r="B27" s="14" t="s">
        <v>62</v>
      </c>
      <c r="C27" s="14" t="s">
        <v>907</v>
      </c>
      <c r="D27" s="16">
        <f>F27*E27*0.0015</f>
        <v>133.875</v>
      </c>
      <c r="E27" s="14">
        <v>17.850000000000001</v>
      </c>
      <c r="F27" s="14">
        <v>5000</v>
      </c>
      <c r="G27" s="14"/>
      <c r="H27" s="71"/>
      <c r="I27" s="67">
        <f>-105/360*(I26+1)*Table1[[#This Row],[Notes]]</f>
        <v>0</v>
      </c>
      <c r="J27" s="24">
        <f>Table1[[#This Row],[Volume]]*Table1[[#This Row],[Price]]</f>
        <v>89250</v>
      </c>
      <c r="K27" s="109"/>
      <c r="L27" t="s">
        <v>756</v>
      </c>
      <c r="M27" s="33" t="s">
        <v>1247</v>
      </c>
      <c r="N27" s="31" t="s">
        <v>1250</v>
      </c>
      <c r="O27" s="31"/>
      <c r="P27" s="31"/>
      <c r="S27" s="133"/>
      <c r="T27" s="31"/>
    </row>
    <row r="28" spans="1:28" x14ac:dyDescent="0.35">
      <c r="A28" s="43">
        <v>44686</v>
      </c>
      <c r="B28" s="14" t="s">
        <v>969</v>
      </c>
      <c r="C28" s="14" t="s">
        <v>657</v>
      </c>
      <c r="D28" s="16">
        <f>63+37+37</f>
        <v>137</v>
      </c>
      <c r="E28" s="14">
        <v>1389</v>
      </c>
      <c r="F28" s="14">
        <v>1</v>
      </c>
      <c r="G28" s="14"/>
      <c r="H28" s="97"/>
      <c r="I28" s="67"/>
      <c r="J28" s="142">
        <f>100+230-Table1[[#This Row],[Commission]]+20</f>
        <v>213</v>
      </c>
      <c r="K28" s="45" t="s">
        <v>992</v>
      </c>
      <c r="L28" t="s">
        <v>756</v>
      </c>
      <c r="M28" s="33" t="s">
        <v>1243</v>
      </c>
      <c r="N28" s="31" t="s">
        <v>1246</v>
      </c>
      <c r="O28" s="31"/>
      <c r="P28" s="31"/>
      <c r="S28" s="133"/>
      <c r="T28" s="31"/>
    </row>
    <row r="29" spans="1:28" x14ac:dyDescent="0.35">
      <c r="A29" s="43">
        <v>44691</v>
      </c>
      <c r="B29" s="14" t="s">
        <v>90</v>
      </c>
      <c r="C29" s="14" t="s">
        <v>907</v>
      </c>
      <c r="D29" s="16">
        <f>-F29*E29*0.0025</f>
        <v>1730</v>
      </c>
      <c r="E29" s="14">
        <v>17.3</v>
      </c>
      <c r="F29" s="14">
        <v>-40000</v>
      </c>
      <c r="G29" s="14"/>
      <c r="H29" s="71">
        <f>Table1[[#This Row],[Result]]/(E30*F30)</f>
        <v>-0.16010780528455285</v>
      </c>
      <c r="I29" s="77">
        <f>Table1[[#This Row],[Date]]-A30+2</f>
        <v>7</v>
      </c>
      <c r="J29" s="59">
        <f>-Table1[[#This Row],[Price]]*Table1[[#This Row],[Volume]]-E30*F30-Table1[[#This Row],[Commission]]-D30+I30</f>
        <v>-131288.40033333332</v>
      </c>
      <c r="K29" s="121" t="s">
        <v>1033</v>
      </c>
      <c r="L29" t="s">
        <v>756</v>
      </c>
      <c r="M29" s="33" t="s">
        <v>1226</v>
      </c>
      <c r="N29" s="31" t="s">
        <v>1228</v>
      </c>
      <c r="O29" s="31"/>
      <c r="P29" s="31"/>
      <c r="S29" s="133"/>
      <c r="T29" s="31"/>
    </row>
    <row r="30" spans="1:28" x14ac:dyDescent="0.35">
      <c r="A30" s="43">
        <v>44686</v>
      </c>
      <c r="B30" s="14" t="s">
        <v>62</v>
      </c>
      <c r="C30" s="14" t="s">
        <v>907</v>
      </c>
      <c r="D30" s="16">
        <f>F30*E30*0.0015</f>
        <v>1230</v>
      </c>
      <c r="E30" s="14">
        <v>20.5</v>
      </c>
      <c r="F30" s="14">
        <v>40000</v>
      </c>
      <c r="G30" s="14"/>
      <c r="H30" s="71"/>
      <c r="I30" s="67">
        <f>-105/360*(I29+1)*Table1[[#This Row],[Notes]]</f>
        <v>-328.40033333333332</v>
      </c>
      <c r="J30" s="24">
        <f>Table1[[#This Row],[Volume]]*Table1[[#This Row],[Price]]</f>
        <v>820000</v>
      </c>
      <c r="K30" s="109">
        <f>Table1[[#This Row],[Result]]/1000-680+0.743</f>
        <v>140.74299999999999</v>
      </c>
      <c r="L30" t="s">
        <v>756</v>
      </c>
      <c r="M30" s="33" t="s">
        <v>1212</v>
      </c>
      <c r="N30" s="134" t="s">
        <v>1214</v>
      </c>
      <c r="O30" s="31"/>
      <c r="P30" s="31"/>
      <c r="S30" s="133"/>
      <c r="T30" s="31"/>
    </row>
    <row r="31" spans="1:28" x14ac:dyDescent="0.35">
      <c r="A31" s="43">
        <v>44685</v>
      </c>
      <c r="B31" s="14" t="s">
        <v>825</v>
      </c>
      <c r="C31" s="14" t="s">
        <v>657</v>
      </c>
      <c r="D31" s="16">
        <v>634</v>
      </c>
      <c r="E31" s="14">
        <v>1399</v>
      </c>
      <c r="F31" s="14">
        <v>10</v>
      </c>
      <c r="G31" s="14"/>
      <c r="H31" s="97"/>
      <c r="I31" s="67"/>
      <c r="J31" s="142">
        <f>12610-Table1[[#This Row],[Commission]]</f>
        <v>11976</v>
      </c>
      <c r="K31" s="109" t="s">
        <v>986</v>
      </c>
      <c r="L31" t="s">
        <v>756</v>
      </c>
      <c r="M31" s="33" t="s">
        <v>1209</v>
      </c>
      <c r="N31" s="31" t="s">
        <v>1211</v>
      </c>
      <c r="O31" s="31"/>
      <c r="P31" s="31"/>
      <c r="S31" s="133"/>
      <c r="T31" s="31"/>
    </row>
    <row r="32" spans="1:28" x14ac:dyDescent="0.35">
      <c r="A32" s="43">
        <v>44680</v>
      </c>
      <c r="B32" s="14" t="s">
        <v>969</v>
      </c>
      <c r="C32" s="14" t="s">
        <v>657</v>
      </c>
      <c r="D32" s="16">
        <f>415+318</f>
        <v>733</v>
      </c>
      <c r="E32" s="14">
        <v>1396</v>
      </c>
      <c r="F32" s="14">
        <v>10</v>
      </c>
      <c r="G32" s="14"/>
      <c r="H32" s="97"/>
      <c r="I32" s="67"/>
      <c r="J32" s="131">
        <f>3600-Table1[[#This Row],[Commission]]-3000</f>
        <v>-133</v>
      </c>
      <c r="K32" s="109" t="s">
        <v>982</v>
      </c>
      <c r="L32" t="s">
        <v>756</v>
      </c>
      <c r="M32" s="33" t="s">
        <v>1126</v>
      </c>
      <c r="N32" s="31" t="s">
        <v>1207</v>
      </c>
      <c r="O32" s="31"/>
      <c r="P32" s="31"/>
      <c r="S32" s="133"/>
      <c r="T32" s="31"/>
    </row>
    <row r="33" spans="1:20" x14ac:dyDescent="0.35">
      <c r="A33" s="43">
        <v>44679</v>
      </c>
      <c r="B33" s="14" t="s">
        <v>825</v>
      </c>
      <c r="C33" s="14" t="s">
        <v>657</v>
      </c>
      <c r="D33" s="16">
        <v>1362</v>
      </c>
      <c r="E33" s="14">
        <v>1401</v>
      </c>
      <c r="F33" s="14">
        <v>10</v>
      </c>
      <c r="G33" s="14"/>
      <c r="H33" s="97"/>
      <c r="I33" s="67"/>
      <c r="J33" s="105">
        <v>9800</v>
      </c>
      <c r="K33" s="109" t="s">
        <v>963</v>
      </c>
      <c r="L33" t="s">
        <v>756</v>
      </c>
      <c r="M33" s="33" t="s">
        <v>1203</v>
      </c>
      <c r="N33" s="31" t="s">
        <v>1204</v>
      </c>
      <c r="O33" s="31"/>
      <c r="P33" s="31"/>
      <c r="S33" s="133"/>
      <c r="T33" s="31"/>
    </row>
    <row r="34" spans="1:20" x14ac:dyDescent="0.35">
      <c r="A34" s="43">
        <v>44678</v>
      </c>
      <c r="B34" s="14" t="s">
        <v>969</v>
      </c>
      <c r="C34" s="14" t="s">
        <v>657</v>
      </c>
      <c r="D34" s="16">
        <v>755</v>
      </c>
      <c r="E34" s="14">
        <v>1364</v>
      </c>
      <c r="F34" s="14">
        <v>1</v>
      </c>
      <c r="G34" s="14"/>
      <c r="H34" s="97"/>
      <c r="I34" s="67"/>
      <c r="J34" s="105">
        <v>3750</v>
      </c>
      <c r="K34" s="109" t="s">
        <v>973</v>
      </c>
      <c r="L34" t="s">
        <v>756</v>
      </c>
      <c r="M34" s="33" t="s">
        <v>1197</v>
      </c>
      <c r="N34" s="31" t="s">
        <v>1200</v>
      </c>
      <c r="O34" s="31"/>
      <c r="P34" s="31"/>
      <c r="S34" s="133"/>
      <c r="T34" s="31"/>
    </row>
    <row r="35" spans="1:20" x14ac:dyDescent="0.35">
      <c r="A35" s="43">
        <v>44677</v>
      </c>
      <c r="B35" s="14" t="s">
        <v>825</v>
      </c>
      <c r="C35" s="14" t="s">
        <v>657</v>
      </c>
      <c r="D35" s="16">
        <v>31</v>
      </c>
      <c r="E35" s="14">
        <v>1362.7</v>
      </c>
      <c r="F35" s="14">
        <v>1</v>
      </c>
      <c r="G35" s="14"/>
      <c r="H35" s="97"/>
      <c r="I35" s="67"/>
      <c r="J35" s="105">
        <v>370</v>
      </c>
      <c r="K35" s="109" t="s">
        <v>965</v>
      </c>
      <c r="L35" t="s">
        <v>756</v>
      </c>
      <c r="M35" s="33" t="s">
        <v>1127</v>
      </c>
      <c r="N35" s="31" t="s">
        <v>1196</v>
      </c>
      <c r="O35" s="31"/>
      <c r="P35" s="31"/>
      <c r="S35" s="133"/>
      <c r="T35" s="31"/>
    </row>
    <row r="36" spans="1:20" x14ac:dyDescent="0.35">
      <c r="A36" s="43">
        <v>44677</v>
      </c>
      <c r="B36" s="14" t="s">
        <v>825</v>
      </c>
      <c r="C36" s="14" t="s">
        <v>657</v>
      </c>
      <c r="D36" s="16">
        <f>D35</f>
        <v>31</v>
      </c>
      <c r="E36" s="14">
        <v>1353.3</v>
      </c>
      <c r="F36" s="14">
        <v>1</v>
      </c>
      <c r="G36" s="14"/>
      <c r="H36" s="97"/>
      <c r="I36" s="67"/>
      <c r="J36" s="105">
        <v>230</v>
      </c>
      <c r="K36" s="109" t="s">
        <v>963</v>
      </c>
      <c r="L36" t="s">
        <v>756</v>
      </c>
      <c r="M36" s="33" t="s">
        <v>1183</v>
      </c>
      <c r="N36" s="31" t="s">
        <v>1186</v>
      </c>
      <c r="O36" s="31"/>
      <c r="P36" s="31"/>
      <c r="S36" s="133"/>
    </row>
    <row r="37" spans="1:20" x14ac:dyDescent="0.35">
      <c r="A37" s="43">
        <v>44677</v>
      </c>
      <c r="B37" s="14" t="s">
        <v>825</v>
      </c>
      <c r="C37" s="14" t="s">
        <v>657</v>
      </c>
      <c r="D37" s="16">
        <f>100+27+35</f>
        <v>162</v>
      </c>
      <c r="E37" s="14">
        <v>1351.4</v>
      </c>
      <c r="F37" s="14">
        <v>2</v>
      </c>
      <c r="G37" s="14"/>
      <c r="H37" s="97"/>
      <c r="I37" s="67"/>
      <c r="J37" s="105">
        <v>2360</v>
      </c>
      <c r="K37" s="109" t="s">
        <v>963</v>
      </c>
      <c r="L37" t="s">
        <v>756</v>
      </c>
      <c r="M37" s="33" t="s">
        <v>1179</v>
      </c>
      <c r="N37" s="31" t="s">
        <v>1181</v>
      </c>
      <c r="O37" s="31"/>
      <c r="P37" s="31"/>
      <c r="S37" s="133"/>
    </row>
    <row r="38" spans="1:20" x14ac:dyDescent="0.35">
      <c r="A38" s="43">
        <v>44676</v>
      </c>
      <c r="B38" s="14" t="s">
        <v>825</v>
      </c>
      <c r="C38" s="14" t="s">
        <v>657</v>
      </c>
      <c r="D38" s="16">
        <v>736.59</v>
      </c>
      <c r="E38" s="14">
        <v>1442.9</v>
      </c>
      <c r="F38" s="14">
        <v>20</v>
      </c>
      <c r="G38" s="14"/>
      <c r="H38" s="97"/>
      <c r="I38" s="67"/>
      <c r="J38" s="105">
        <f>100000-SUM(D33:D38)</f>
        <v>96922.41</v>
      </c>
      <c r="K38" s="45" t="s">
        <v>960</v>
      </c>
      <c r="L38" t="s">
        <v>756</v>
      </c>
      <c r="M38" s="33" t="s">
        <v>1174</v>
      </c>
      <c r="N38" s="31" t="s">
        <v>1178</v>
      </c>
      <c r="O38" s="31"/>
      <c r="P38" s="31"/>
      <c r="S38" s="133"/>
    </row>
    <row r="39" spans="1:20" x14ac:dyDescent="0.35">
      <c r="A39" s="43"/>
      <c r="B39" s="14"/>
      <c r="C39" s="14"/>
      <c r="D39" s="16"/>
      <c r="E39" s="14"/>
      <c r="F39" s="14"/>
      <c r="G39" s="14">
        <f>-125000*1</f>
        <v>-125000</v>
      </c>
      <c r="H39" s="97"/>
      <c r="I39" s="67"/>
      <c r="J39" s="98"/>
      <c r="K39" s="45" t="s">
        <v>1249</v>
      </c>
      <c r="L39" t="s">
        <v>756</v>
      </c>
      <c r="M39" s="33" t="s">
        <v>1169</v>
      </c>
      <c r="N39" s="31" t="s">
        <v>1177</v>
      </c>
      <c r="O39" s="31"/>
      <c r="P39" s="31"/>
      <c r="S39" s="133"/>
    </row>
    <row r="40" spans="1:20" x14ac:dyDescent="0.35">
      <c r="A40" s="43">
        <v>44672</v>
      </c>
      <c r="B40" s="14" t="s">
        <v>90</v>
      </c>
      <c r="C40" s="14" t="s">
        <v>907</v>
      </c>
      <c r="D40" s="16">
        <f>-F40*E40*0.0025</f>
        <v>1924.2375000000006</v>
      </c>
      <c r="E40" s="14">
        <f>(33.7*22.35+0.7*21+0.1*18)/34.5</f>
        <v>22.310000000000006</v>
      </c>
      <c r="F40" s="14">
        <v>-34500</v>
      </c>
      <c r="G40" s="14"/>
      <c r="H40" s="71">
        <f>Table1[[#This Row],[Result]]/(E41*F41)</f>
        <v>-4.3180592585365142E-2</v>
      </c>
      <c r="I40" s="77">
        <f>Table1[[#This Row],[Date]]-A41</f>
        <v>24</v>
      </c>
      <c r="J40" s="59">
        <f>-Table1[[#This Row],[Price]]*Table1[[#This Row],[Volume]]-E41*F41-Table1[[#This Row],[Commission]]-D41+I41</f>
        <v>-34521.523583332986</v>
      </c>
      <c r="K40" s="121" t="s">
        <v>946</v>
      </c>
      <c r="L40" t="s">
        <v>756</v>
      </c>
      <c r="M40" s="33" t="s">
        <v>1163</v>
      </c>
      <c r="N40" s="31" t="s">
        <v>1168</v>
      </c>
      <c r="O40" s="31"/>
      <c r="P40" s="31"/>
      <c r="S40" s="133"/>
    </row>
    <row r="41" spans="1:20" x14ac:dyDescent="0.35">
      <c r="A41" s="43">
        <v>44648</v>
      </c>
      <c r="B41" s="14" t="s">
        <v>62</v>
      </c>
      <c r="C41" s="14" t="s">
        <v>907</v>
      </c>
      <c r="D41" s="16">
        <f>F41*E41*0.0015</f>
        <v>1199.2027499999999</v>
      </c>
      <c r="E41" s="14">
        <v>23.172999999999998</v>
      </c>
      <c r="F41" s="14">
        <v>34500</v>
      </c>
      <c r="G41" s="14"/>
      <c r="H41" s="71"/>
      <c r="I41" s="67">
        <f>-105/360*(I40+1)*Table1[[#This Row],[Notes]]</f>
        <v>-1624.5833333333335</v>
      </c>
      <c r="J41" s="24">
        <f>Table1[[#This Row],[Volume]]*Table1[[#This Row],[Price]]</f>
        <v>799468.49999999988</v>
      </c>
      <c r="K41" s="109">
        <f>760-538+0.8</f>
        <v>222.8</v>
      </c>
      <c r="L41" t="s">
        <v>756</v>
      </c>
      <c r="M41" s="33" t="s">
        <v>1159</v>
      </c>
      <c r="N41" s="31" t="s">
        <v>1164</v>
      </c>
      <c r="O41" s="31"/>
      <c r="P41" s="31"/>
      <c r="S41" s="133"/>
    </row>
    <row r="42" spans="1:20" x14ac:dyDescent="0.35">
      <c r="A42" s="43">
        <v>44657</v>
      </c>
      <c r="B42" s="14" t="s">
        <v>90</v>
      </c>
      <c r="C42" s="14" t="s">
        <v>907</v>
      </c>
      <c r="D42" s="16">
        <f>-F42*E42*0.0025</f>
        <v>61.375</v>
      </c>
      <c r="E42" s="14">
        <v>24.55</v>
      </c>
      <c r="F42" s="14">
        <v>-1000</v>
      </c>
      <c r="G42" s="14"/>
      <c r="H42" s="71">
        <f>Table1[[#This Row],[Result]]/(E43*F43)</f>
        <v>-4.2916666666666667E-3</v>
      </c>
      <c r="I42" s="77">
        <f>Table1[[#This Row],[Date]]-A43</f>
        <v>0</v>
      </c>
      <c r="J42" s="59">
        <f>-Table1[[#This Row],[Price]]*Table1[[#This Row],[Volume]]-E43*F43-Table1[[#This Row],[Commission]]-D43+I43</f>
        <v>-105.36041666666667</v>
      </c>
      <c r="K42" s="121" t="s">
        <v>934</v>
      </c>
      <c r="L42" t="s">
        <v>756</v>
      </c>
      <c r="M42" s="33" t="s">
        <v>1156</v>
      </c>
      <c r="N42" s="31" t="s">
        <v>1165</v>
      </c>
      <c r="O42" s="31"/>
      <c r="P42" s="31"/>
      <c r="S42" s="133"/>
    </row>
    <row r="43" spans="1:20" x14ac:dyDescent="0.35">
      <c r="A43" s="43">
        <v>44657</v>
      </c>
      <c r="B43" s="14" t="s">
        <v>62</v>
      </c>
      <c r="C43" s="14" t="s">
        <v>907</v>
      </c>
      <c r="D43" s="16">
        <f>F43*E43*0.0015</f>
        <v>36.825000000000003</v>
      </c>
      <c r="E43" s="14">
        <v>24.55</v>
      </c>
      <c r="F43" s="14">
        <v>1000</v>
      </c>
      <c r="G43" s="14"/>
      <c r="H43" s="71"/>
      <c r="I43" s="67">
        <f>-105/360*(I42+1)*Table1[[#This Row],[Notes]]</f>
        <v>-7.1604166666666673</v>
      </c>
      <c r="J43" s="24">
        <f>Table1[[#This Row],[Volume]]*Table1[[#This Row],[Price]]</f>
        <v>24550</v>
      </c>
      <c r="K43" s="45">
        <v>24.55</v>
      </c>
      <c r="L43" t="s">
        <v>756</v>
      </c>
      <c r="M43" s="33" t="s">
        <v>1152</v>
      </c>
      <c r="N43" s="31" t="s">
        <v>1155</v>
      </c>
      <c r="O43" s="31"/>
      <c r="P43" s="31"/>
      <c r="S43" s="133"/>
    </row>
    <row r="44" spans="1:20" x14ac:dyDescent="0.35">
      <c r="A44" s="43">
        <v>44657</v>
      </c>
      <c r="B44" s="14" t="s">
        <v>90</v>
      </c>
      <c r="C44" s="14" t="s">
        <v>907</v>
      </c>
      <c r="D44" s="16">
        <f>-F44*E44*0.0025</f>
        <v>123.25</v>
      </c>
      <c r="E44" s="14">
        <v>24.65</v>
      </c>
      <c r="F44" s="14">
        <v>-2000</v>
      </c>
      <c r="G44" s="14"/>
      <c r="H44" s="71">
        <f>Table1[[#This Row],[Result]]/(E45*F45)</f>
        <v>9.0275779376498798E-3</v>
      </c>
      <c r="I44" s="77">
        <f>Table1[[#This Row],[Date]]-A45</f>
        <v>0</v>
      </c>
      <c r="J44" s="61">
        <f>-Table1[[#This Row],[Price]]*Table1[[#This Row],[Volume]]-E45*F45-Table1[[#This Row],[Commission]]-D45+I45</f>
        <v>439.19166666666666</v>
      </c>
      <c r="K44" s="121" t="s">
        <v>933</v>
      </c>
      <c r="L44" t="s">
        <v>756</v>
      </c>
      <c r="M44" s="33" t="s">
        <v>1144</v>
      </c>
      <c r="N44" s="31" t="s">
        <v>1150</v>
      </c>
      <c r="O44" s="31"/>
      <c r="P44" s="31"/>
      <c r="S44" s="133"/>
    </row>
    <row r="45" spans="1:20" x14ac:dyDescent="0.35">
      <c r="A45" s="43">
        <v>44657</v>
      </c>
      <c r="B45" s="14" t="s">
        <v>62</v>
      </c>
      <c r="C45" s="14" t="s">
        <v>907</v>
      </c>
      <c r="D45" s="16">
        <f>F45*E45*0.0015</f>
        <v>72.975000000000009</v>
      </c>
      <c r="E45" s="14">
        <f>(24.25+24.4)/2</f>
        <v>24.324999999999999</v>
      </c>
      <c r="F45" s="14">
        <v>2000</v>
      </c>
      <c r="G45" s="14"/>
      <c r="H45" s="71"/>
      <c r="I45" s="67">
        <f>-105/360*(I44+1)*Table1[[#This Row],[Notes]]</f>
        <v>-14.583333333333334</v>
      </c>
      <c r="J45" s="24">
        <f>Table1[[#This Row],[Volume]]*Table1[[#This Row],[Price]]</f>
        <v>48650</v>
      </c>
      <c r="K45" s="45">
        <v>50</v>
      </c>
      <c r="L45" t="s">
        <v>756</v>
      </c>
      <c r="M45" s="33" t="s">
        <v>1140</v>
      </c>
      <c r="N45" s="31" t="s">
        <v>1151</v>
      </c>
      <c r="O45" s="31"/>
      <c r="P45" s="31"/>
      <c r="S45" s="133"/>
    </row>
    <row r="46" spans="1:20" x14ac:dyDescent="0.35">
      <c r="A46" s="43">
        <v>44656</v>
      </c>
      <c r="B46" s="14" t="s">
        <v>90</v>
      </c>
      <c r="C46" s="14" t="s">
        <v>907</v>
      </c>
      <c r="D46" s="16">
        <f>-F46*E46*0.0025</f>
        <v>127</v>
      </c>
      <c r="E46" s="14">
        <f>(25.45+25.35)/2</f>
        <v>25.4</v>
      </c>
      <c r="F46" s="14">
        <v>-2000</v>
      </c>
      <c r="G46" s="14"/>
      <c r="H46" s="71">
        <f>Table1[[#This Row],[Result]]/(E47*F47)</f>
        <v>2.9190064428619721E-2</v>
      </c>
      <c r="I46" s="77">
        <f>Table1[[#This Row],[Date]]-A47</f>
        <v>1</v>
      </c>
      <c r="J46" s="61">
        <f>-Table1[[#This Row],[Price]]*Table1[[#This Row],[Volume]]-E47*F47-Table1[[#This Row],[Commission]]-D47+I47</f>
        <v>1434.6916666666596</v>
      </c>
      <c r="K46" s="121" t="s">
        <v>931</v>
      </c>
      <c r="L46" t="s">
        <v>756</v>
      </c>
      <c r="M46" s="33" t="s">
        <v>1138</v>
      </c>
      <c r="N46" s="31" t="s">
        <v>1139</v>
      </c>
      <c r="O46" s="31"/>
      <c r="P46" s="31"/>
      <c r="S46" s="133"/>
    </row>
    <row r="47" spans="1:20" x14ac:dyDescent="0.35">
      <c r="A47" s="43">
        <v>44655</v>
      </c>
      <c r="B47" s="14" t="s">
        <v>62</v>
      </c>
      <c r="C47" s="14" t="s">
        <v>907</v>
      </c>
      <c r="D47" s="16">
        <f>F47*E47*0.0015</f>
        <v>73.725000000000009</v>
      </c>
      <c r="E47" s="14">
        <f>(25.35+23.8)/2</f>
        <v>24.575000000000003</v>
      </c>
      <c r="F47" s="14">
        <v>2000</v>
      </c>
      <c r="G47" s="14"/>
      <c r="H47" s="71"/>
      <c r="I47" s="67">
        <f>-105/360*(I46+1)*Table1[[#This Row],[Notes]]</f>
        <v>-14.583333333333334</v>
      </c>
      <c r="J47" s="24">
        <f>Table1[[#This Row],[Volume]]*Table1[[#This Row],[Price]]</f>
        <v>49150.000000000007</v>
      </c>
      <c r="K47" s="45">
        <v>25</v>
      </c>
      <c r="L47" t="s">
        <v>756</v>
      </c>
      <c r="M47" s="33" t="s">
        <v>1132</v>
      </c>
      <c r="N47" s="31" t="s">
        <v>1134</v>
      </c>
      <c r="O47" s="31"/>
      <c r="P47" s="31"/>
      <c r="S47" s="133"/>
    </row>
    <row r="48" spans="1:20" x14ac:dyDescent="0.35">
      <c r="A48" s="43">
        <v>44657</v>
      </c>
      <c r="B48" s="14" t="s">
        <v>90</v>
      </c>
      <c r="C48" s="14" t="s">
        <v>912</v>
      </c>
      <c r="D48" s="16">
        <f>-F48*E48*0.0025</f>
        <v>14</v>
      </c>
      <c r="E48" s="14">
        <v>56</v>
      </c>
      <c r="F48" s="14">
        <v>-100</v>
      </c>
      <c r="G48" s="14"/>
      <c r="H48" s="71">
        <f>Table1[[#This Row],[Result]]/(E49*F49)</f>
        <v>-1.9799295774647886E-2</v>
      </c>
      <c r="I48" s="77">
        <f>Table1[[#This Row],[Date]]-A49</f>
        <v>5</v>
      </c>
      <c r="J48" s="59">
        <f>-Table1[[#This Row],[Price]]*Table1[[#This Row],[Volume]]-E49*F49-Table1[[#This Row],[Commission]]-D49+I49</f>
        <v>-112.46</v>
      </c>
      <c r="K48" s="121" t="s">
        <v>926</v>
      </c>
      <c r="L48" t="s">
        <v>756</v>
      </c>
      <c r="M48" s="33" t="s">
        <v>1130</v>
      </c>
      <c r="N48" s="31" t="s">
        <v>1131</v>
      </c>
      <c r="O48" s="31"/>
      <c r="P48" s="31"/>
      <c r="S48" s="133"/>
    </row>
    <row r="49" spans="1:19" x14ac:dyDescent="0.35">
      <c r="A49" s="43">
        <v>44652</v>
      </c>
      <c r="B49" s="14" t="s">
        <v>62</v>
      </c>
      <c r="C49" s="14" t="s">
        <v>912</v>
      </c>
      <c r="D49" s="16">
        <f>F49*E49*0.0015</f>
        <v>8.52</v>
      </c>
      <c r="E49" s="14">
        <v>56.8</v>
      </c>
      <c r="F49" s="14">
        <v>100</v>
      </c>
      <c r="G49" s="14"/>
      <c r="H49" s="71"/>
      <c r="I49" s="67">
        <f>-105/360*(I48+1)*Table1[[#This Row],[Notes]]</f>
        <v>-9.94</v>
      </c>
      <c r="J49" s="24">
        <f>Table1[[#This Row],[Volume]]*Table1[[#This Row],[Price]]</f>
        <v>5680</v>
      </c>
      <c r="K49" s="45">
        <v>5.68</v>
      </c>
      <c r="L49" t="s">
        <v>756</v>
      </c>
      <c r="M49" s="33" t="s">
        <v>1123</v>
      </c>
      <c r="N49" s="31" t="s">
        <v>1124</v>
      </c>
      <c r="O49" s="31"/>
      <c r="P49" s="31"/>
      <c r="S49" s="133"/>
    </row>
    <row r="50" spans="1:19" x14ac:dyDescent="0.35">
      <c r="A50" s="43">
        <v>44656</v>
      </c>
      <c r="B50" s="14" t="s">
        <v>90</v>
      </c>
      <c r="C50" s="14" t="s">
        <v>916</v>
      </c>
      <c r="D50" s="16">
        <f>-F50*E50*0.0025</f>
        <v>3.8250000000000002</v>
      </c>
      <c r="E50" s="14">
        <v>15.3</v>
      </c>
      <c r="F50" s="14">
        <v>-100</v>
      </c>
      <c r="G50" s="14"/>
      <c r="H50" s="71">
        <f>Table1[[#This Row],[Result]]/(E51*F51)</f>
        <v>-5.3565217391304487E-2</v>
      </c>
      <c r="I50" s="77">
        <f>Table1[[#This Row],[Date]]-A51</f>
        <v>6</v>
      </c>
      <c r="J50" s="59">
        <f>-Table1[[#This Row],[Price]]*Table1[[#This Row],[Volume]]-E51*F51-Table1[[#This Row],[Commission]]-D51+I51</f>
        <v>-86.240000000000236</v>
      </c>
      <c r="K50" s="121" t="s">
        <v>929</v>
      </c>
      <c r="L50" t="s">
        <v>756</v>
      </c>
      <c r="M50" s="33" t="s">
        <v>1117</v>
      </c>
      <c r="N50" s="31" t="s">
        <v>1122</v>
      </c>
      <c r="O50" s="31"/>
      <c r="P50" s="31"/>
      <c r="S50" s="133"/>
    </row>
    <row r="51" spans="1:19" x14ac:dyDescent="0.35">
      <c r="A51" s="43">
        <v>44650</v>
      </c>
      <c r="B51" s="14" t="s">
        <v>62</v>
      </c>
      <c r="C51" s="14" t="s">
        <v>916</v>
      </c>
      <c r="D51" s="16">
        <f>F51*E51*0.0015</f>
        <v>2.4150000000000005</v>
      </c>
      <c r="E51" s="14">
        <v>16.100000000000001</v>
      </c>
      <c r="F51" s="14">
        <v>100</v>
      </c>
      <c r="G51" s="14"/>
      <c r="H51" s="71"/>
      <c r="I51" s="67">
        <f>-105/360*(I50+1)*Table1[[#This Row],[Notes]]</f>
        <v>0</v>
      </c>
      <c r="J51" s="24">
        <f>Table1[[#This Row],[Volume]]*Table1[[#This Row],[Price]]</f>
        <v>1610.0000000000002</v>
      </c>
      <c r="K51" s="45"/>
      <c r="L51" t="s">
        <v>756</v>
      </c>
      <c r="M51" s="33" t="s">
        <v>1061</v>
      </c>
      <c r="N51" s="31" t="s">
        <v>1063</v>
      </c>
      <c r="O51" s="31"/>
      <c r="P51" s="31"/>
      <c r="S51" s="133"/>
    </row>
    <row r="52" spans="1:19" x14ac:dyDescent="0.35">
      <c r="A52" s="43">
        <v>44655</v>
      </c>
      <c r="B52" s="14" t="s">
        <v>90</v>
      </c>
      <c r="C52" s="14" t="s">
        <v>924</v>
      </c>
      <c r="D52" s="16">
        <f>-F52*E52*0.0025</f>
        <v>9.9</v>
      </c>
      <c r="E52" s="14">
        <v>39.6</v>
      </c>
      <c r="F52" s="14">
        <v>-100</v>
      </c>
      <c r="G52" s="14"/>
      <c r="H52" s="71">
        <f>Table1[[#This Row],[Result]]/(E53*F53)</f>
        <v>1.6567010309278471E-2</v>
      </c>
      <c r="I52" s="77">
        <f>Table1[[#This Row],[Date]]-A53</f>
        <v>5</v>
      </c>
      <c r="J52" s="61">
        <f>-Table1[[#This Row],[Price]]*Table1[[#This Row],[Volume]]-E53*F53-Table1[[#This Row],[Commission]]-D53+I53</f>
        <v>64.280000000000456</v>
      </c>
      <c r="K52" s="121" t="s">
        <v>927</v>
      </c>
      <c r="L52" t="s">
        <v>756</v>
      </c>
      <c r="M52" s="33" t="s">
        <v>1059</v>
      </c>
      <c r="N52" s="31" t="s">
        <v>1060</v>
      </c>
      <c r="O52" s="31"/>
      <c r="P52" s="31"/>
      <c r="S52" s="133"/>
    </row>
    <row r="53" spans="1:19" x14ac:dyDescent="0.35">
      <c r="A53" s="43">
        <v>44650</v>
      </c>
      <c r="B53" s="14" t="s">
        <v>62</v>
      </c>
      <c r="C53" s="14" t="s">
        <v>924</v>
      </c>
      <c r="D53" s="16">
        <f>F53*E53*0.0015</f>
        <v>5.8199999999999994</v>
      </c>
      <c r="E53" s="14">
        <v>38.799999999999997</v>
      </c>
      <c r="F53" s="14">
        <v>100</v>
      </c>
      <c r="G53" s="14"/>
      <c r="H53" s="71"/>
      <c r="I53" s="67">
        <f>-105/360*(I52+1)*Table1[[#This Row],[Notes]]</f>
        <v>0</v>
      </c>
      <c r="J53" s="24">
        <f>Table1[[#This Row],[Volume]]*Table1[[#This Row],[Price]]</f>
        <v>3879.9999999999995</v>
      </c>
      <c r="K53" s="45"/>
      <c r="L53" t="s">
        <v>756</v>
      </c>
      <c r="M53" s="33" t="s">
        <v>1057</v>
      </c>
      <c r="N53" s="31" t="s">
        <v>1058</v>
      </c>
      <c r="O53" s="31"/>
      <c r="P53" s="31"/>
      <c r="S53" s="139"/>
    </row>
    <row r="54" spans="1:19" x14ac:dyDescent="0.35">
      <c r="A54" s="43">
        <v>44655</v>
      </c>
      <c r="B54" s="14" t="s">
        <v>90</v>
      </c>
      <c r="C54" s="14" t="s">
        <v>923</v>
      </c>
      <c r="D54" s="16">
        <f>-F54*E54*0.0025</f>
        <v>16.600000000000001</v>
      </c>
      <c r="E54" s="14">
        <v>33.200000000000003</v>
      </c>
      <c r="F54" s="14">
        <v>-200</v>
      </c>
      <c r="G54" s="14"/>
      <c r="H54" s="71">
        <f>Table1[[#This Row],[Result]]/(E55*F55)</f>
        <v>-8.2481894150417706E-2</v>
      </c>
      <c r="I54" s="77">
        <f>Table1[[#This Row],[Date]]-A55</f>
        <v>11</v>
      </c>
      <c r="J54" s="59">
        <f>-Table1[[#This Row],[Price]]*Table1[[#This Row],[Volume]]-E55*F55-Table1[[#This Row],[Commission]]-D55+I55</f>
        <v>-592.21999999999912</v>
      </c>
      <c r="K54" s="121" t="s">
        <v>928</v>
      </c>
      <c r="L54" t="s">
        <v>756</v>
      </c>
      <c r="M54" s="33" t="s">
        <v>1055</v>
      </c>
      <c r="N54" s="31" t="s">
        <v>1056</v>
      </c>
      <c r="O54" s="31"/>
      <c r="P54" s="31"/>
      <c r="S54" s="138"/>
    </row>
    <row r="55" spans="1:19" x14ac:dyDescent="0.35">
      <c r="A55" s="43">
        <v>44644</v>
      </c>
      <c r="B55" s="14" t="s">
        <v>62</v>
      </c>
      <c r="C55" s="14" t="s">
        <v>923</v>
      </c>
      <c r="D55" s="16">
        <f>F55*E55*0.0015</f>
        <v>10.77</v>
      </c>
      <c r="E55" s="14">
        <v>35.9</v>
      </c>
      <c r="F55" s="14">
        <v>200</v>
      </c>
      <c r="G55" s="14"/>
      <c r="H55" s="71"/>
      <c r="I55" s="67">
        <f>-105/360*(I54+1)*Table1[[#This Row],[Notes]]</f>
        <v>-24.849999999999998</v>
      </c>
      <c r="J55" s="24">
        <f>Table1[[#This Row],[Volume]]*Table1[[#This Row],[Price]]</f>
        <v>7180</v>
      </c>
      <c r="K55" s="45">
        <v>7.1</v>
      </c>
      <c r="L55" t="s">
        <v>756</v>
      </c>
      <c r="M55" s="33" t="s">
        <v>1052</v>
      </c>
      <c r="N55" s="31" t="s">
        <v>1054</v>
      </c>
      <c r="O55" s="31"/>
      <c r="P55" s="31"/>
      <c r="S55" s="138"/>
    </row>
    <row r="56" spans="1:19" x14ac:dyDescent="0.35">
      <c r="A56" s="43">
        <v>44657</v>
      </c>
      <c r="B56" s="14" t="s">
        <v>90</v>
      </c>
      <c r="C56" s="14" t="s">
        <v>907</v>
      </c>
      <c r="D56" s="16">
        <f>-F56*E56*0.0025</f>
        <v>1533.55</v>
      </c>
      <c r="E56" s="14">
        <f>(24.4*24.55+0.6*24)/25</f>
        <v>24.536799999999999</v>
      </c>
      <c r="F56" s="14">
        <v>-25000</v>
      </c>
      <c r="G56" s="14"/>
      <c r="H56" s="71">
        <f>Table1[[#This Row],[Result]]/(E57*F57)</f>
        <v>7.5426229508196723E-4</v>
      </c>
      <c r="I56" s="77">
        <f>Table1[[#This Row],[Date]]-A57</f>
        <v>9</v>
      </c>
      <c r="J56" s="61">
        <f>-Table1[[#This Row],[Price]]*Table1[[#This Row],[Volume]]-E57*F57-Table1[[#This Row],[Commission]]-D57+I57</f>
        <v>460.1</v>
      </c>
      <c r="K56" s="121" t="s">
        <v>936</v>
      </c>
      <c r="L56" t="s">
        <v>756</v>
      </c>
      <c r="M56" s="5" t="s">
        <v>1049</v>
      </c>
      <c r="N56" t="s">
        <v>1053</v>
      </c>
      <c r="Q56" s="134"/>
      <c r="S56" s="133"/>
    </row>
    <row r="57" spans="1:19" x14ac:dyDescent="0.35">
      <c r="A57" s="43">
        <v>44648</v>
      </c>
      <c r="B57" s="14" t="s">
        <v>62</v>
      </c>
      <c r="C57" s="14" t="s">
        <v>907</v>
      </c>
      <c r="D57" s="16">
        <f>F57*E57*0.0015</f>
        <v>915</v>
      </c>
      <c r="E57" s="14">
        <f>(24.2*10+20*24.5)/30</f>
        <v>24.4</v>
      </c>
      <c r="F57" s="14">
        <v>25000</v>
      </c>
      <c r="G57" s="14"/>
      <c r="H57" s="71"/>
      <c r="I57" s="67">
        <f>-105/360*(I56+1)*Table1[[#This Row],[Notes]]</f>
        <v>-511.35</v>
      </c>
      <c r="J57" s="24">
        <f>Table1[[#This Row],[Volume]]*Table1[[#This Row],[Price]]</f>
        <v>610000</v>
      </c>
      <c r="K57" s="45">
        <v>175.32</v>
      </c>
      <c r="L57" t="s">
        <v>756</v>
      </c>
      <c r="M57" s="5" t="s">
        <v>1046</v>
      </c>
      <c r="N57" t="s">
        <v>1048</v>
      </c>
      <c r="S57" s="133"/>
    </row>
    <row r="58" spans="1:19" x14ac:dyDescent="0.35">
      <c r="A58" s="43">
        <v>44653</v>
      </c>
      <c r="B58" s="14" t="s">
        <v>90</v>
      </c>
      <c r="C58" s="14" t="s">
        <v>921</v>
      </c>
      <c r="D58" s="16">
        <f>-F58*E58*0.0025</f>
        <v>36.25</v>
      </c>
      <c r="E58" s="14">
        <v>29</v>
      </c>
      <c r="F58" s="14">
        <v>-500</v>
      </c>
      <c r="G58" s="14"/>
      <c r="H58" s="71">
        <f>Table1[[#This Row],[Result]]/(E59*F59)</f>
        <v>6.5935424354243544E-2</v>
      </c>
      <c r="I58" s="77">
        <f>Table1[[#This Row],[Date]]-A59</f>
        <v>5</v>
      </c>
      <c r="J58" s="61">
        <f>-Table1[[#This Row],[Price]]*Table1[[#This Row],[Volume]]-E59*F59-Table1[[#This Row],[Commission]]-D59+I59</f>
        <v>893.42499999999995</v>
      </c>
      <c r="K58" s="45" t="s">
        <v>920</v>
      </c>
      <c r="L58" t="s">
        <v>756</v>
      </c>
      <c r="M58" s="5" t="s">
        <v>1044</v>
      </c>
      <c r="N58" t="s">
        <v>1045</v>
      </c>
      <c r="S58" s="133"/>
    </row>
    <row r="59" spans="1:19" x14ac:dyDescent="0.35">
      <c r="A59" s="43">
        <v>44648</v>
      </c>
      <c r="B59" s="14" t="s">
        <v>62</v>
      </c>
      <c r="C59" s="14" t="s">
        <v>921</v>
      </c>
      <c r="D59" s="16">
        <f>F59*E59*0.0015</f>
        <v>20.324999999999999</v>
      </c>
      <c r="E59" s="14">
        <v>27.1</v>
      </c>
      <c r="F59" s="14">
        <v>500</v>
      </c>
      <c r="G59" s="14"/>
      <c r="H59" s="71"/>
      <c r="I59" s="67">
        <f>-105/360*(I58+1)*Table1[[#This Row],[Notes]]</f>
        <v>0</v>
      </c>
      <c r="J59" s="24">
        <f>Table1[[#This Row],[Volume]]*Table1[[#This Row],[Price]]</f>
        <v>13550</v>
      </c>
      <c r="K59" s="45"/>
      <c r="L59" t="s">
        <v>756</v>
      </c>
      <c r="M59" s="29" t="s">
        <v>1042</v>
      </c>
      <c r="N59" s="31" t="s">
        <v>1043</v>
      </c>
      <c r="O59" s="31"/>
      <c r="P59" s="135"/>
      <c r="S59" s="133"/>
    </row>
    <row r="60" spans="1:19" x14ac:dyDescent="0.35">
      <c r="A60" s="43">
        <v>44645</v>
      </c>
      <c r="B60" s="14" t="s">
        <v>918</v>
      </c>
      <c r="C60" s="14"/>
      <c r="D60" s="16"/>
      <c r="E60" s="14"/>
      <c r="F60" s="14"/>
      <c r="G60" s="14">
        <v>8000</v>
      </c>
      <c r="H60" s="97"/>
      <c r="I60" s="67"/>
      <c r="J60" s="98"/>
      <c r="K60" s="45" t="s">
        <v>919</v>
      </c>
      <c r="L60" t="s">
        <v>756</v>
      </c>
      <c r="M60" s="29" t="s">
        <v>1038</v>
      </c>
      <c r="N60" s="31" t="s">
        <v>1040</v>
      </c>
      <c r="O60" s="31"/>
      <c r="P60" s="135"/>
      <c r="S60" s="133"/>
    </row>
    <row r="61" spans="1:19" x14ac:dyDescent="0.35">
      <c r="A61" s="43">
        <v>44649</v>
      </c>
      <c r="B61" s="14" t="s">
        <v>90</v>
      </c>
      <c r="C61" s="14" t="s">
        <v>915</v>
      </c>
      <c r="D61" s="16">
        <f>-F61*E61*0.0025</f>
        <v>2.7625000000000002</v>
      </c>
      <c r="E61" s="14">
        <v>11.05</v>
      </c>
      <c r="F61" s="14">
        <v>-100</v>
      </c>
      <c r="G61" s="14"/>
      <c r="H61" s="71">
        <f>Table1[[#This Row],[Result]]/(E62*F62)</f>
        <v>6.6883495145631064E-2</v>
      </c>
      <c r="I61" s="77">
        <f>Table1[[#This Row],[Date]]-A62</f>
        <v>5</v>
      </c>
      <c r="J61" s="61">
        <f>-Table1[[#This Row],[Price]]*Table1[[#This Row],[Volume]]-E62*F62-Table1[[#This Row],[Commission]]-D62+I62</f>
        <v>68.89</v>
      </c>
      <c r="K61" s="121" t="s">
        <v>925</v>
      </c>
      <c r="L61" t="s">
        <v>756</v>
      </c>
      <c r="M61" s="29" t="s">
        <v>1035</v>
      </c>
      <c r="N61" s="31" t="s">
        <v>1036</v>
      </c>
      <c r="O61" s="31"/>
      <c r="P61" s="135"/>
      <c r="S61" s="133"/>
    </row>
    <row r="62" spans="1:19" x14ac:dyDescent="0.35">
      <c r="A62" s="43">
        <v>44644</v>
      </c>
      <c r="B62" s="14" t="s">
        <v>62</v>
      </c>
      <c r="C62" s="14" t="s">
        <v>915</v>
      </c>
      <c r="D62" s="16">
        <f>F62*E62*0.0015</f>
        <v>1.5449999999999999</v>
      </c>
      <c r="E62" s="14">
        <v>10.3</v>
      </c>
      <c r="F62" s="14">
        <v>100</v>
      </c>
      <c r="G62" s="14"/>
      <c r="H62" s="71"/>
      <c r="I62" s="67">
        <f>-105/360*(I61+1)*Table1[[#This Row],[Notes]]</f>
        <v>-1.8025</v>
      </c>
      <c r="J62" s="24">
        <f>Table1[[#This Row],[Volume]]*Table1[[#This Row],[Price]]</f>
        <v>1030</v>
      </c>
      <c r="K62" s="45">
        <v>1.03</v>
      </c>
      <c r="L62" t="s">
        <v>756</v>
      </c>
      <c r="M62" s="29" t="s">
        <v>1032</v>
      </c>
      <c r="N62" s="31" t="s">
        <v>1034</v>
      </c>
      <c r="O62" s="31"/>
      <c r="P62" s="135"/>
      <c r="S62" s="133"/>
    </row>
    <row r="63" spans="1:19" x14ac:dyDescent="0.35">
      <c r="A63" s="43">
        <v>44649</v>
      </c>
      <c r="B63" s="14" t="s">
        <v>90</v>
      </c>
      <c r="C63" s="14" t="s">
        <v>916</v>
      </c>
      <c r="D63" s="16">
        <f>-F63*E63*0.0025</f>
        <v>21.625</v>
      </c>
      <c r="E63" s="14">
        <v>17.3</v>
      </c>
      <c r="F63" s="14">
        <v>-500</v>
      </c>
      <c r="G63" s="14"/>
      <c r="H63" s="71">
        <f>Table1[[#This Row],[Result]]/(E64*F64)</f>
        <v>5.9166666666666656E-3</v>
      </c>
      <c r="I63" s="77">
        <f>Table1[[#This Row],[Date]]-A64</f>
        <v>5</v>
      </c>
      <c r="J63" s="61">
        <f>-Table1[[#This Row],[Price]]*Table1[[#This Row],[Volume]]-E64*F64-Table1[[#This Row],[Commission]]-D64+I64</f>
        <v>50.587499999999991</v>
      </c>
      <c r="K63" s="121" t="s">
        <v>922</v>
      </c>
      <c r="L63" t="s">
        <v>756</v>
      </c>
      <c r="M63" s="33" t="s">
        <v>1029</v>
      </c>
      <c r="N63" s="31" t="s">
        <v>1031</v>
      </c>
      <c r="P63" s="141"/>
      <c r="S63" s="133"/>
    </row>
    <row r="64" spans="1:19" x14ac:dyDescent="0.35">
      <c r="A64" s="43">
        <v>44644</v>
      </c>
      <c r="B64" s="14" t="s">
        <v>62</v>
      </c>
      <c r="C64" s="14" t="s">
        <v>916</v>
      </c>
      <c r="D64" s="16">
        <f>F64*E64*0.0015</f>
        <v>12.825000000000001</v>
      </c>
      <c r="E64" s="14">
        <v>17.100000000000001</v>
      </c>
      <c r="F64" s="14">
        <v>500</v>
      </c>
      <c r="G64" s="14"/>
      <c r="H64" s="71"/>
      <c r="I64" s="67">
        <f>-105/360*(I63+1)*Table1[[#This Row],[Notes]]</f>
        <v>-14.962500000000002</v>
      </c>
      <c r="J64" s="24">
        <f>Table1[[#This Row],[Volume]]*Table1[[#This Row],[Price]]</f>
        <v>8550</v>
      </c>
      <c r="K64" s="45">
        <v>8.5500000000000007</v>
      </c>
      <c r="L64" t="s">
        <v>756</v>
      </c>
      <c r="M64" s="29" t="s">
        <v>994</v>
      </c>
      <c r="N64" s="31" t="s">
        <v>995</v>
      </c>
      <c r="O64" s="31"/>
      <c r="P64" s="135"/>
      <c r="S64" s="133"/>
    </row>
    <row r="65" spans="1:19" x14ac:dyDescent="0.35">
      <c r="A65" s="43">
        <v>44648</v>
      </c>
      <c r="B65" s="14" t="s">
        <v>90</v>
      </c>
      <c r="C65" s="14" t="s">
        <v>914</v>
      </c>
      <c r="D65" s="16">
        <f>-F65*E65*0.0025</f>
        <v>8.2375000000000007</v>
      </c>
      <c r="E65" s="14">
        <v>32.950000000000003</v>
      </c>
      <c r="F65" s="14">
        <v>-100</v>
      </c>
      <c r="G65" s="14"/>
      <c r="H65" s="71">
        <f>Table1[[#This Row],[Result]]/(E66*F66)</f>
        <v>-4.7432510885341068E-2</v>
      </c>
      <c r="I65" s="77">
        <f>Table1[[#This Row],[Date]]-A66</f>
        <v>5</v>
      </c>
      <c r="J65" s="59">
        <f>-Table1[[#This Row],[Price]]*Table1[[#This Row],[Volume]]-E66*F66-Table1[[#This Row],[Commission]]-D66+I66</f>
        <v>-163.405</v>
      </c>
      <c r="K65" s="121" t="s">
        <v>917</v>
      </c>
      <c r="L65" t="s">
        <v>756</v>
      </c>
      <c r="M65" s="29" t="s">
        <v>991</v>
      </c>
      <c r="N65" s="31" t="s">
        <v>993</v>
      </c>
      <c r="O65" s="31"/>
      <c r="P65" s="135"/>
      <c r="S65" s="133"/>
    </row>
    <row r="66" spans="1:19" x14ac:dyDescent="0.35">
      <c r="A66" s="43">
        <v>44643</v>
      </c>
      <c r="B66" s="14" t="s">
        <v>62</v>
      </c>
      <c r="C66" s="14" t="s">
        <v>914</v>
      </c>
      <c r="D66" s="16">
        <f>F66*E66*0.0015</f>
        <v>5.1675000000000004</v>
      </c>
      <c r="E66" s="14">
        <v>34.450000000000003</v>
      </c>
      <c r="F66" s="14">
        <v>100</v>
      </c>
      <c r="G66" s="14"/>
      <c r="H66" s="71"/>
      <c r="I66" s="67">
        <f>-105/360*(I65+1)*Table1[[#This Row],[Notes]]</f>
        <v>0</v>
      </c>
      <c r="J66" s="24">
        <f>Table1[[#This Row],[Volume]]*Table1[[#This Row],[Price]]</f>
        <v>3445.0000000000005</v>
      </c>
      <c r="K66" s="45"/>
      <c r="L66" t="s">
        <v>756</v>
      </c>
      <c r="M66" s="29" t="s">
        <v>984</v>
      </c>
      <c r="N66" s="31" t="s">
        <v>990</v>
      </c>
      <c r="O66" s="31"/>
      <c r="P66" s="135"/>
      <c r="S66" s="133"/>
    </row>
    <row r="67" spans="1:19" x14ac:dyDescent="0.35">
      <c r="A67" s="43">
        <v>44644</v>
      </c>
      <c r="B67" s="14" t="s">
        <v>90</v>
      </c>
      <c r="C67" s="14" t="s">
        <v>912</v>
      </c>
      <c r="D67" s="16">
        <f>-F67*E67*0.0025</f>
        <v>74.875</v>
      </c>
      <c r="E67" s="14">
        <v>59.9</v>
      </c>
      <c r="F67" s="14">
        <v>-500</v>
      </c>
      <c r="G67" s="14"/>
      <c r="H67" s="71">
        <f>Table1[[#This Row],[Result]]/(E68*F68)</f>
        <v>1.8703133903133901E-2</v>
      </c>
      <c r="I67" s="77">
        <f>Table1[[#This Row],[Date]]-A68</f>
        <v>3</v>
      </c>
      <c r="J67" s="61">
        <f>-Table1[[#This Row],[Price]]*Table1[[#This Row],[Volume]]-E68*F68-Table1[[#This Row],[Commission]]-D68+I68</f>
        <v>547.06666666666661</v>
      </c>
      <c r="K67" s="121" t="s">
        <v>913</v>
      </c>
      <c r="L67" t="s">
        <v>756</v>
      </c>
      <c r="N67" s="31" t="s">
        <v>985</v>
      </c>
      <c r="O67" s="31"/>
      <c r="P67" s="135"/>
      <c r="S67" s="133"/>
    </row>
    <row r="68" spans="1:19" x14ac:dyDescent="0.35">
      <c r="A68" s="43">
        <v>44641</v>
      </c>
      <c r="B68" s="14" t="s">
        <v>62</v>
      </c>
      <c r="C68" s="14" t="s">
        <v>912</v>
      </c>
      <c r="D68" s="16">
        <f>F68*E68*0.0015</f>
        <v>43.875</v>
      </c>
      <c r="E68" s="14">
        <v>58.5</v>
      </c>
      <c r="F68" s="14">
        <v>500</v>
      </c>
      <c r="G68" s="14"/>
      <c r="H68" s="71"/>
      <c r="I68" s="67">
        <f>-105/360*(I67+1)*Table1[[#This Row],[Notes]]</f>
        <v>-34.183333333333337</v>
      </c>
      <c r="J68" s="24">
        <f>Table1[[#This Row],[Volume]]*Table1[[#This Row],[Price]]</f>
        <v>29250</v>
      </c>
      <c r="K68" s="45">
        <v>29.3</v>
      </c>
      <c r="L68" t="s">
        <v>756</v>
      </c>
      <c r="M68" s="29" t="s">
        <v>981</v>
      </c>
      <c r="N68" s="31" t="s">
        <v>983</v>
      </c>
      <c r="O68" s="31"/>
      <c r="P68" s="135"/>
      <c r="S68" s="133"/>
    </row>
    <row r="69" spans="1:19" x14ac:dyDescent="0.35">
      <c r="A69" s="43">
        <v>44648</v>
      </c>
      <c r="B69" s="14" t="s">
        <v>90</v>
      </c>
      <c r="C69" s="14" t="s">
        <v>907</v>
      </c>
      <c r="D69" s="16">
        <f>-F69*E69*0.0025</f>
        <v>1812</v>
      </c>
      <c r="E69" s="14">
        <f>ROUNDDOWN((24.1*24.2+5.9*24)/30,2)</f>
        <v>24.16</v>
      </c>
      <c r="F69" s="14">
        <v>-30000</v>
      </c>
      <c r="G69" s="14"/>
      <c r="H69" s="71">
        <f>Table1[[#This Row],[Result]]/(E70*F70)</f>
        <v>0.17321894308943089</v>
      </c>
      <c r="I69" s="77">
        <f>Table1[[#This Row],[Date]]-A70</f>
        <v>11</v>
      </c>
      <c r="J69" s="61">
        <f>-Table1[[#This Row],[Price]]*Table1[[#This Row],[Volume]]-E70*F70-Table1[[#This Row],[Commission]]-D70+I70</f>
        <v>106529.65</v>
      </c>
      <c r="K69" s="121" t="s">
        <v>911</v>
      </c>
      <c r="L69" t="s">
        <v>756</v>
      </c>
      <c r="M69" s="29" t="s">
        <v>972</v>
      </c>
      <c r="N69" s="31" t="s">
        <v>978</v>
      </c>
      <c r="O69" s="31"/>
      <c r="P69" s="135"/>
      <c r="S69" s="133"/>
    </row>
    <row r="70" spans="1:19" x14ac:dyDescent="0.35">
      <c r="A70" s="43">
        <v>44637</v>
      </c>
      <c r="B70" s="14" t="s">
        <v>62</v>
      </c>
      <c r="C70" s="14" t="s">
        <v>907</v>
      </c>
      <c r="D70" s="16">
        <f>F70*E70*0.0015</f>
        <v>922.5</v>
      </c>
      <c r="E70" s="14">
        <f>(30*20.5+2*20.5)/32</f>
        <v>20.5</v>
      </c>
      <c r="F70" s="14">
        <v>30000</v>
      </c>
      <c r="G70" s="14"/>
      <c r="H70" s="71"/>
      <c r="I70" s="67">
        <f>-105/360*(I69+1)*Table1[[#This Row],[Notes]]</f>
        <v>-535.85000000000014</v>
      </c>
      <c r="J70" s="24">
        <f>Table1[[#This Row],[Volume]]*Table1[[#This Row],[Price]]</f>
        <v>615000</v>
      </c>
      <c r="K70" s="45">
        <f>615.1-462</f>
        <v>153.10000000000002</v>
      </c>
      <c r="L70" t="s">
        <v>756</v>
      </c>
      <c r="N70" s="31" t="s">
        <v>974</v>
      </c>
      <c r="O70" s="31"/>
      <c r="P70" s="135"/>
      <c r="S70" s="133"/>
    </row>
    <row r="71" spans="1:19" x14ac:dyDescent="0.35">
      <c r="A71" s="43">
        <v>44636</v>
      </c>
      <c r="B71" s="14" t="s">
        <v>62</v>
      </c>
      <c r="C71" s="14" t="s">
        <v>657</v>
      </c>
      <c r="D71" s="16"/>
      <c r="E71" s="14">
        <v>1469</v>
      </c>
      <c r="F71" s="14">
        <v>14</v>
      </c>
      <c r="G71" s="14"/>
      <c r="H71" s="97"/>
      <c r="I71" s="67"/>
      <c r="J71" s="131">
        <f>(E72-Table1[[#This Row],[Price]])*14*100-(D71+D72)</f>
        <v>-11210.78599999986</v>
      </c>
      <c r="K71" s="45" t="s">
        <v>905</v>
      </c>
      <c r="L71" t="s">
        <v>756</v>
      </c>
      <c r="M71" s="33" t="s">
        <v>967</v>
      </c>
      <c r="N71" s="31" t="s">
        <v>970</v>
      </c>
      <c r="O71" s="31"/>
      <c r="P71" s="135"/>
      <c r="S71" s="133"/>
    </row>
    <row r="72" spans="1:19" x14ac:dyDescent="0.35">
      <c r="A72" s="43">
        <v>44635</v>
      </c>
      <c r="B72" s="14" t="s">
        <v>90</v>
      </c>
      <c r="C72" s="14" t="s">
        <v>657</v>
      </c>
      <c r="D72" s="16">
        <f>93.8+132.986+100+30+100+100</f>
        <v>556.78600000000006</v>
      </c>
      <c r="E72" s="14">
        <v>1461.39</v>
      </c>
      <c r="F72" s="14">
        <v>-14</v>
      </c>
      <c r="G72" s="14"/>
      <c r="H72" s="97"/>
      <c r="I72" s="67"/>
      <c r="J72" s="98">
        <f>Table1[[#This Row],[Price]]*Table1[[#This Row],[Volume]]*1</f>
        <v>-20459.460000000003</v>
      </c>
      <c r="K72" s="45" t="s">
        <v>902</v>
      </c>
      <c r="L72" t="s">
        <v>756</v>
      </c>
      <c r="M72" s="33"/>
      <c r="N72" t="s">
        <v>971</v>
      </c>
      <c r="O72" s="31"/>
      <c r="P72" s="135"/>
      <c r="S72" s="2"/>
    </row>
    <row r="73" spans="1:19" x14ac:dyDescent="0.35">
      <c r="A73" s="43">
        <v>44635</v>
      </c>
      <c r="B73" s="14" t="s">
        <v>90</v>
      </c>
      <c r="C73" s="14" t="s">
        <v>266</v>
      </c>
      <c r="D73" s="16">
        <f>-F73*E73*0.0025</f>
        <v>2376.0000000000005</v>
      </c>
      <c r="E73" s="14">
        <v>43.2</v>
      </c>
      <c r="F73" s="14">
        <v>-22000</v>
      </c>
      <c r="G73" s="14"/>
      <c r="H73" s="71">
        <f>Table1[[#This Row],[Result]]/(E74*F74)</f>
        <v>-9.2296926498351944E-2</v>
      </c>
      <c r="I73" s="77">
        <f>Table1[[#This Row],[Date]]-A74</f>
        <v>5</v>
      </c>
      <c r="J73" s="59">
        <f>-Table1[[#This Row],[Price]]*Table1[[#This Row],[Volume]]-E74*F74-Table1[[#This Row],[Commission]]-D74+I74</f>
        <v>-96145.708333333227</v>
      </c>
      <c r="K73" s="121" t="s">
        <v>901</v>
      </c>
      <c r="L73" t="s">
        <v>756</v>
      </c>
      <c r="M73" s="33"/>
      <c r="N73" s="31" t="s">
        <v>968</v>
      </c>
      <c r="O73" s="31"/>
      <c r="P73" s="31"/>
      <c r="S73" s="2"/>
    </row>
    <row r="74" spans="1:19" x14ac:dyDescent="0.35">
      <c r="A74" s="43">
        <v>44630</v>
      </c>
      <c r="B74" s="14" t="s">
        <v>62</v>
      </c>
      <c r="C74" s="14" t="s">
        <v>266</v>
      </c>
      <c r="D74" s="16">
        <f>F74*E74*0.0015</f>
        <v>1562.55</v>
      </c>
      <c r="E74" s="14">
        <v>47.35</v>
      </c>
      <c r="F74" s="14">
        <v>22000</v>
      </c>
      <c r="G74" s="14"/>
      <c r="H74" s="71"/>
      <c r="I74" s="67">
        <f>-115/360*(I73+1)*Table1[[#This Row],[Notes]]</f>
        <v>-907.1583333333333</v>
      </c>
      <c r="J74" s="24">
        <f>Table1[[#This Row],[Volume]]*Table1[[#This Row],[Price]]</f>
        <v>1041700</v>
      </c>
      <c r="K74" s="45">
        <f>ROUNDUP((Table1[[#This Row],[Price]]*Table1[[#This Row],[Volume]]+Table1[[#This Row],[Commission]]-570000)/1000,1)</f>
        <v>473.3</v>
      </c>
      <c r="L74" t="s">
        <v>756</v>
      </c>
      <c r="M74" s="33" t="s">
        <v>964</v>
      </c>
      <c r="N74" s="31" t="s">
        <v>966</v>
      </c>
      <c r="O74" s="31"/>
      <c r="P74" s="31"/>
      <c r="S74" s="2"/>
    </row>
    <row r="75" spans="1:19" x14ac:dyDescent="0.35">
      <c r="A75" s="43">
        <v>44628</v>
      </c>
      <c r="B75" s="14" t="s">
        <v>90</v>
      </c>
      <c r="C75" s="14" t="s">
        <v>893</v>
      </c>
      <c r="D75" s="16">
        <f>-F75*E75*0.0025</f>
        <v>34.5</v>
      </c>
      <c r="E75" s="14">
        <v>13.8</v>
      </c>
      <c r="F75" s="14">
        <v>-1000</v>
      </c>
      <c r="G75" s="14"/>
      <c r="H75" s="71">
        <f>Table1[[#This Row],[Result]]/(E76*F76)</f>
        <v>3.7405660377358492E-2</v>
      </c>
      <c r="I75" s="77">
        <f>Table1[[#This Row],[Date]]-A76</f>
        <v>5</v>
      </c>
      <c r="J75" s="61">
        <f>-Table1[[#This Row],[Price]]*Table1[[#This Row],[Volume]]-E76*F76-Table1[[#This Row],[Commission]]-D76+I76</f>
        <v>495.625</v>
      </c>
      <c r="K75" s="121"/>
      <c r="L75" t="s">
        <v>756</v>
      </c>
      <c r="M75" s="29" t="s">
        <v>959</v>
      </c>
      <c r="N75" s="106" t="s">
        <v>962</v>
      </c>
      <c r="O75" s="34"/>
      <c r="P75" s="31"/>
      <c r="S75" s="2"/>
    </row>
    <row r="76" spans="1:19" x14ac:dyDescent="0.35">
      <c r="A76" s="43">
        <v>44623</v>
      </c>
      <c r="B76" s="14" t="s">
        <v>62</v>
      </c>
      <c r="C76" s="14" t="s">
        <v>893</v>
      </c>
      <c r="D76" s="16">
        <f>F76*E76*0.0015</f>
        <v>19.875</v>
      </c>
      <c r="E76" s="14">
        <v>13.25</v>
      </c>
      <c r="F76" s="14">
        <v>1000</v>
      </c>
      <c r="G76" s="14"/>
      <c r="H76" s="71"/>
      <c r="I76" s="67"/>
      <c r="J76" s="24">
        <f>Table1[[#This Row],[Volume]]*Table1[[#This Row],[Price]]</f>
        <v>13250</v>
      </c>
      <c r="K76" s="45"/>
      <c r="L76" t="s">
        <v>756</v>
      </c>
      <c r="M76" s="29" t="s">
        <v>953</v>
      </c>
      <c r="N76" s="106" t="s">
        <v>958</v>
      </c>
      <c r="O76" s="34"/>
      <c r="P76" s="31"/>
      <c r="S76" s="2"/>
    </row>
    <row r="77" spans="1:19" x14ac:dyDescent="0.35">
      <c r="A77" s="43">
        <v>44628</v>
      </c>
      <c r="B77" s="14" t="s">
        <v>90</v>
      </c>
      <c r="C77" s="14" t="s">
        <v>266</v>
      </c>
      <c r="D77" s="16">
        <f>-F77*E77*0.0025</f>
        <v>2561.9</v>
      </c>
      <c r="E77" s="14">
        <f>ROUNDDOWN((12*46.4+5*46.75+5*46.85)/22,2)</f>
        <v>46.58</v>
      </c>
      <c r="F77" s="14">
        <v>-22000</v>
      </c>
      <c r="G77" s="14"/>
      <c r="H77" s="71">
        <f>Table1[[#This Row],[Result]]/(E78*F78)</f>
        <v>3.5214793019480641E-2</v>
      </c>
      <c r="I77" s="77">
        <f>Table1[[#This Row],[Date]]-A78</f>
        <v>6</v>
      </c>
      <c r="J77" s="61">
        <f>-Table1[[#This Row],[Price]]*Table1[[#This Row],[Volume]]-E78*F78-Table1[[#This Row],[Commission]]-D78+I78</f>
        <v>34707.700000000114</v>
      </c>
      <c r="K77" s="121" t="s">
        <v>898</v>
      </c>
      <c r="L77" t="s">
        <v>756</v>
      </c>
      <c r="M77" s="29" t="s">
        <v>950</v>
      </c>
      <c r="N77" s="106" t="s">
        <v>952</v>
      </c>
      <c r="O77" s="34"/>
      <c r="P77" s="31"/>
      <c r="S77" s="2"/>
    </row>
    <row r="78" spans="1:19" x14ac:dyDescent="0.35">
      <c r="A78" s="43">
        <v>44622</v>
      </c>
      <c r="B78" s="14" t="s">
        <v>62</v>
      </c>
      <c r="C78" s="14" t="s">
        <v>266</v>
      </c>
      <c r="D78" s="16">
        <f>F78*E78*0.0015</f>
        <v>1478.3999999999999</v>
      </c>
      <c r="E78" s="14">
        <v>44.8</v>
      </c>
      <c r="F78" s="14">
        <v>22000</v>
      </c>
      <c r="G78" s="14"/>
      <c r="H78" s="71"/>
      <c r="I78" s="67">
        <v>-412</v>
      </c>
      <c r="J78" s="24">
        <f>Table1[[#This Row],[Volume]]*Table1[[#This Row],[Price]]</f>
        <v>985599.99999999988</v>
      </c>
      <c r="K78" s="45">
        <f>ROUNDUP((Table1[[#This Row],[Price]]*Table1[[#This Row],[Volume]]+Table1[[#This Row],[Commission]]-512800)/1000,1)</f>
        <v>474.3</v>
      </c>
      <c r="L78" t="s">
        <v>756</v>
      </c>
      <c r="M78" s="29" t="s">
        <v>949</v>
      </c>
      <c r="N78" s="106" t="s">
        <v>951</v>
      </c>
      <c r="O78" s="34"/>
      <c r="P78" s="31"/>
      <c r="S78" s="2"/>
    </row>
    <row r="79" spans="1:19" x14ac:dyDescent="0.35">
      <c r="A79" s="43">
        <v>44622</v>
      </c>
      <c r="B79" s="14" t="s">
        <v>90</v>
      </c>
      <c r="C79" s="14" t="s">
        <v>266</v>
      </c>
      <c r="D79" s="16">
        <f>-F79*E79*0.0025</f>
        <v>2516.25</v>
      </c>
      <c r="E79" s="14">
        <v>45.75</v>
      </c>
      <c r="F79" s="14">
        <v>-22000</v>
      </c>
      <c r="G79" s="14"/>
      <c r="H79" s="71">
        <f>Table1[[#This Row],[Result]]/(E80*F80)</f>
        <v>1.283358613948146E-2</v>
      </c>
      <c r="I79" s="77">
        <f>Table1[[#This Row],[Date]]-A80</f>
        <v>5</v>
      </c>
      <c r="J79" s="61">
        <f>-Table1[[#This Row],[Price]]*Table1[[#This Row],[Volume]]-E80*F80-Table1[[#This Row],[Commission]]-D80+I80</f>
        <v>12691.133333333217</v>
      </c>
      <c r="K79" s="121" t="s">
        <v>890</v>
      </c>
      <c r="L79" t="s">
        <v>756</v>
      </c>
      <c r="M79" s="29" t="s">
        <v>947</v>
      </c>
      <c r="N79" s="106" t="s">
        <v>948</v>
      </c>
      <c r="O79" s="34"/>
      <c r="P79" s="31"/>
      <c r="S79" s="2"/>
    </row>
    <row r="80" spans="1:19" x14ac:dyDescent="0.35">
      <c r="A80" s="43">
        <v>44617</v>
      </c>
      <c r="B80" s="14" t="s">
        <v>62</v>
      </c>
      <c r="C80" s="14" t="s">
        <v>266</v>
      </c>
      <c r="D80" s="16">
        <f>F80*E80*0.0015</f>
        <v>1483.3500000000001</v>
      </c>
      <c r="E80" s="14">
        <v>44.95</v>
      </c>
      <c r="F80" s="14">
        <v>22000</v>
      </c>
      <c r="G80" s="14"/>
      <c r="H80" s="71"/>
      <c r="I80" s="67">
        <f>-115/360*(I79+1)*Table1[[#This Row],[Notes]]</f>
        <v>-909.26666666666665</v>
      </c>
      <c r="J80" s="24">
        <f>Table1[[#This Row],[Volume]]*Table1[[#This Row],[Price]]</f>
        <v>988900.00000000012</v>
      </c>
      <c r="K80" s="45">
        <f>ROUNDUP((Table1[[#This Row],[Price]]*Table1[[#This Row],[Volume]]+Table1[[#This Row],[Commission]]-516000)/1000,1)</f>
        <v>474.40000000000003</v>
      </c>
      <c r="L80" t="s">
        <v>756</v>
      </c>
      <c r="M80" s="29" t="s">
        <v>944</v>
      </c>
      <c r="N80" s="106" t="s">
        <v>945</v>
      </c>
      <c r="O80" s="34"/>
      <c r="P80" s="31"/>
      <c r="S80" s="2"/>
    </row>
    <row r="81" spans="1:19" x14ac:dyDescent="0.35">
      <c r="A81" s="43">
        <v>44616</v>
      </c>
      <c r="B81" s="14"/>
      <c r="C81" s="14"/>
      <c r="D81" s="16"/>
      <c r="E81" s="14"/>
      <c r="F81" s="14"/>
      <c r="G81" s="14">
        <v>20000</v>
      </c>
      <c r="H81" s="97"/>
      <c r="I81" s="67"/>
      <c r="J81" s="98"/>
      <c r="K81" s="45" t="s">
        <v>882</v>
      </c>
      <c r="L81" t="s">
        <v>756</v>
      </c>
      <c r="M81" s="29" t="s">
        <v>942</v>
      </c>
      <c r="N81" s="106" t="s">
        <v>943</v>
      </c>
      <c r="O81" s="34"/>
      <c r="P81" s="31"/>
      <c r="S81" s="2"/>
    </row>
    <row r="82" spans="1:19" x14ac:dyDescent="0.35">
      <c r="A82" s="43">
        <v>44608</v>
      </c>
      <c r="B82" s="14"/>
      <c r="C82" s="14"/>
      <c r="D82" s="16"/>
      <c r="E82" s="14"/>
      <c r="F82" s="14"/>
      <c r="G82" s="14">
        <v>25000</v>
      </c>
      <c r="H82" s="97"/>
      <c r="I82" s="67"/>
      <c r="J82" s="98"/>
      <c r="K82" s="45" t="s">
        <v>880</v>
      </c>
      <c r="L82" t="s">
        <v>756</v>
      </c>
      <c r="M82" s="29" t="s">
        <v>940</v>
      </c>
      <c r="N82" s="106" t="s">
        <v>941</v>
      </c>
      <c r="O82" s="34"/>
      <c r="P82" s="31"/>
      <c r="S82" s="2"/>
    </row>
    <row r="83" spans="1:19" x14ac:dyDescent="0.35">
      <c r="A83" s="43">
        <v>44607</v>
      </c>
      <c r="B83" s="14"/>
      <c r="C83" s="14"/>
      <c r="D83" s="16"/>
      <c r="E83" s="14"/>
      <c r="F83" s="14">
        <f>5.4+7-27.5</f>
        <v>-15.1</v>
      </c>
      <c r="G83" s="14">
        <v>7500</v>
      </c>
      <c r="H83" s="97"/>
      <c r="I83" s="67"/>
      <c r="J83" s="98"/>
      <c r="K83" s="45" t="s">
        <v>879</v>
      </c>
      <c r="L83" t="s">
        <v>756</v>
      </c>
      <c r="M83" s="29" t="s">
        <v>938</v>
      </c>
      <c r="N83" s="106" t="s">
        <v>939</v>
      </c>
      <c r="O83" s="34"/>
      <c r="P83" s="31"/>
      <c r="S83" s="2"/>
    </row>
    <row r="84" spans="1:19" x14ac:dyDescent="0.35">
      <c r="A84" s="43">
        <v>44554</v>
      </c>
      <c r="B84" s="14"/>
      <c r="C84" s="14"/>
      <c r="D84" s="16"/>
      <c r="E84" s="14"/>
      <c r="F84" s="14"/>
      <c r="G84" s="14">
        <v>25000</v>
      </c>
      <c r="H84" s="97"/>
      <c r="I84" s="67"/>
      <c r="J84" s="98"/>
      <c r="K84" s="45" t="s">
        <v>843</v>
      </c>
      <c r="L84" t="s">
        <v>756</v>
      </c>
      <c r="M84" s="29" t="s">
        <v>935</v>
      </c>
      <c r="N84" s="106" t="s">
        <v>937</v>
      </c>
      <c r="O84" s="34"/>
      <c r="P84" s="31"/>
      <c r="S84" s="2"/>
    </row>
    <row r="85" spans="1:19" x14ac:dyDescent="0.35">
      <c r="A85" s="43">
        <v>44530</v>
      </c>
      <c r="B85" s="14"/>
      <c r="C85" s="14"/>
      <c r="D85" s="16"/>
      <c r="E85" s="14"/>
      <c r="F85" s="14"/>
      <c r="G85" s="14">
        <v>3000</v>
      </c>
      <c r="H85" s="97"/>
      <c r="I85" s="67"/>
      <c r="J85" s="98"/>
      <c r="K85" s="45" t="s">
        <v>836</v>
      </c>
      <c r="L85" t="s">
        <v>756</v>
      </c>
      <c r="M85" s="29" t="s">
        <v>930</v>
      </c>
      <c r="N85" s="106" t="s">
        <v>932</v>
      </c>
      <c r="O85" s="34"/>
      <c r="P85" s="31"/>
      <c r="S85" s="2"/>
    </row>
    <row r="86" spans="1:19" x14ac:dyDescent="0.35">
      <c r="A86" s="43">
        <v>44530</v>
      </c>
      <c r="B86" s="14" t="s">
        <v>90</v>
      </c>
      <c r="C86" s="14" t="s">
        <v>266</v>
      </c>
      <c r="D86" s="16">
        <f>-F86*E86*0.0025</f>
        <v>2617.3000000000002</v>
      </c>
      <c r="E86" s="14">
        <f>(56*18+55.6*0.7)/18.7</f>
        <v>55.985026737967921</v>
      </c>
      <c r="F86" s="14">
        <v>-18700</v>
      </c>
      <c r="G86" s="14"/>
      <c r="H86" s="71">
        <f>Table1[[#This Row],[Result]]/(E87*F87)</f>
        <v>2.8980568915897124E-2</v>
      </c>
      <c r="I86" s="77">
        <f>DATEDIF(A87,A86,"d")-IF(DATEDIF(A87,A86,"d")+1&gt;=6,ROUNDDOWN(((DATEDIF(A87,A86,"d")+1)/7),0)*2,1)+1</f>
        <v>6</v>
      </c>
      <c r="J86" s="61">
        <f>-Table1[[#This Row],[Price]]*Table1[[#This Row],[Volume]]-E87*F87-Table1[[#This Row],[Commission]]-D87+I87</f>
        <v>29348.903832258875</v>
      </c>
      <c r="K86" s="45" t="s">
        <v>833</v>
      </c>
      <c r="L86" t="s">
        <v>756</v>
      </c>
      <c r="M86" s="29" t="s">
        <v>909</v>
      </c>
      <c r="N86" s="106" t="s">
        <v>910</v>
      </c>
      <c r="O86" s="34"/>
      <c r="P86" s="31"/>
      <c r="S86" s="2"/>
    </row>
    <row r="87" spans="1:19" x14ac:dyDescent="0.35">
      <c r="A87" s="43">
        <v>44525</v>
      </c>
      <c r="B87" s="14" t="s">
        <v>62</v>
      </c>
      <c r="C87" s="14" t="s">
        <v>266</v>
      </c>
      <c r="D87" s="16">
        <f>F87*E87*0.0015</f>
        <v>1519.0645799999998</v>
      </c>
      <c r="E87" s="14">
        <f>(18.7*53.3+0.3*54.6+6*56.8)/(18.7+6+0.3)</f>
        <v>54.155599999999993</v>
      </c>
      <c r="F87" s="14">
        <v>18700</v>
      </c>
      <c r="G87" s="14"/>
      <c r="H87" s="71"/>
      <c r="I87" s="67">
        <f>-115/360*(I86+1)*Table1[[#This Row],[Notes]]</f>
        <v>-725.01158774138844</v>
      </c>
      <c r="J87" s="24">
        <f>(Table1[[#This Row],[Volume]]*Table1[[#This Row],[Price]]+Table1[[#This Row],[Commission]])</f>
        <v>1014228.7845799999</v>
      </c>
      <c r="K87" s="109">
        <f>(Table1[[#This Row],[Result]]-690000)/1000</f>
        <v>324.22878457999985</v>
      </c>
      <c r="L87" t="s">
        <v>756</v>
      </c>
      <c r="M87" s="29" t="s">
        <v>906</v>
      </c>
      <c r="N87" s="106" t="s">
        <v>908</v>
      </c>
      <c r="O87" s="34"/>
      <c r="P87" s="31"/>
      <c r="S87" s="2"/>
    </row>
    <row r="88" spans="1:19" x14ac:dyDescent="0.35">
      <c r="A88" s="123">
        <v>44616</v>
      </c>
      <c r="B88" s="124" t="s">
        <v>90</v>
      </c>
      <c r="C88" s="124" t="s">
        <v>266</v>
      </c>
      <c r="D88" s="125">
        <f>-F88*E88*0.0025</f>
        <v>3100.625</v>
      </c>
      <c r="E88" s="124">
        <f>ROUNDDOWN((45.1*7+45.15*15.1+45*5.4)/27.5,2)</f>
        <v>45.1</v>
      </c>
      <c r="F88" s="124">
        <v>-27500</v>
      </c>
      <c r="G88" s="124"/>
      <c r="H88" s="126">
        <f>Table1[[#This Row],[Result]]/(E89*F89)</f>
        <v>-0.1885388399962932</v>
      </c>
      <c r="I88" s="127">
        <f>Table1[[#This Row],[Date]]-A89</f>
        <v>91</v>
      </c>
      <c r="J88" s="59">
        <f>-Table1[[#This Row],[Price]]*Table1[[#This Row],[Volume]]-E89*F89-Table1[[#This Row],[Commission]]-D89+I89</f>
        <v>-282572.58644444443</v>
      </c>
      <c r="K88" s="45" t="s">
        <v>896</v>
      </c>
      <c r="L88" t="s">
        <v>756</v>
      </c>
      <c r="M88" s="29" t="s">
        <v>903</v>
      </c>
      <c r="N88" s="106" t="s">
        <v>904</v>
      </c>
      <c r="O88" s="34"/>
      <c r="P88" s="31"/>
      <c r="S88" s="2"/>
    </row>
    <row r="89" spans="1:19" x14ac:dyDescent="0.35">
      <c r="A89" s="123">
        <v>44525</v>
      </c>
      <c r="B89" s="124" t="s">
        <v>62</v>
      </c>
      <c r="C89" s="124" t="s">
        <v>266</v>
      </c>
      <c r="D89" s="125">
        <f>F89*E89*0.0015</f>
        <v>2248.125</v>
      </c>
      <c r="E89" s="124">
        <f>ROUNDDOWN((54.803*26.5+48.84*0.5+44.6*0.5)/27.5,2)</f>
        <v>54.5</v>
      </c>
      <c r="F89" s="124">
        <v>27500</v>
      </c>
      <c r="G89" s="124">
        <v>120000</v>
      </c>
      <c r="H89" s="126"/>
      <c r="I89" s="128">
        <f>-98/360*(I88)*Table1[[#This Row],[Notes]]</f>
        <v>-18723.836444444441</v>
      </c>
      <c r="J89" s="129">
        <f>1478844.95</f>
        <v>1478844.95</v>
      </c>
      <c r="K89" s="109">
        <v>755.84</v>
      </c>
      <c r="L89" t="s">
        <v>756</v>
      </c>
      <c r="M89" s="29" t="s">
        <v>897</v>
      </c>
      <c r="N89" s="106" t="s">
        <v>900</v>
      </c>
      <c r="O89" s="34"/>
      <c r="P89" s="31"/>
      <c r="S89" s="2"/>
    </row>
    <row r="90" spans="1:19" x14ac:dyDescent="0.35">
      <c r="A90" s="43">
        <v>44523</v>
      </c>
      <c r="B90" s="14" t="s">
        <v>825</v>
      </c>
      <c r="C90" s="14" t="s">
        <v>657</v>
      </c>
      <c r="D90" s="108">
        <f>-(-320-60.3-194.3-290.504)</f>
        <v>865.10400000000004</v>
      </c>
      <c r="E90" s="14">
        <f>(9*1513+10*1530)/19-1547</f>
        <v>-25.052631578947285</v>
      </c>
      <c r="F90" s="14">
        <v>19</v>
      </c>
      <c r="G90" s="14"/>
      <c r="H90" s="97"/>
      <c r="I90" s="77">
        <f>DATEDIF(A91,A90,"d")-IF(DATEDIF(A91,A90,"d")+1&gt;=6,ROUNDDOWN(((DATEDIF(A91,A90,"d")+1)/7),0)*2,1)+1</f>
        <v>1</v>
      </c>
      <c r="J90" s="107">
        <f>Table1[[#This Row],[Volume]]*Table1[[#This Row],[Price]]*100-Table1[[#This Row],[Commission]]</f>
        <v>-48465.103999999839</v>
      </c>
      <c r="K90" s="45" t="s">
        <v>826</v>
      </c>
      <c r="L90" t="s">
        <v>756</v>
      </c>
      <c r="M90" s="29" t="s">
        <v>891</v>
      </c>
      <c r="N90" s="106" t="s">
        <v>892</v>
      </c>
      <c r="O90" s="34"/>
      <c r="P90" s="31"/>
      <c r="S90" s="2"/>
    </row>
    <row r="91" spans="1:19" x14ac:dyDescent="0.35">
      <c r="A91" s="43">
        <v>44522</v>
      </c>
      <c r="B91" s="14" t="s">
        <v>90</v>
      </c>
      <c r="C91" s="14" t="s">
        <v>808</v>
      </c>
      <c r="D91" s="16">
        <f>-F91*E91*0.0025</f>
        <v>3115.35</v>
      </c>
      <c r="E91" s="14">
        <v>48.3</v>
      </c>
      <c r="F91" s="14">
        <v>-25800</v>
      </c>
      <c r="G91" s="14"/>
      <c r="H91" s="71">
        <f>Table1[[#This Row],[Result]]/(E92*F92)</f>
        <v>5.1076888020115278E-2</v>
      </c>
      <c r="I91" s="77">
        <f>DATEDIF(A92,A91,"d")-IF(DATEDIF(A92,A91,"d")+1&gt;=6,ROUNDDOWN(((DATEDIF(A92,A91,"d")+1)/7),0)*2,1)+1</f>
        <v>11</v>
      </c>
      <c r="J91" s="61">
        <f>-Table1[[#This Row],[Price]]*Table1[[#This Row],[Volume]]-E92*F92-Table1[[#This Row],[Commission]]-D92+I92</f>
        <v>60202.948833333336</v>
      </c>
      <c r="K91" s="45" t="s">
        <v>822</v>
      </c>
      <c r="L91" t="s">
        <v>756</v>
      </c>
      <c r="M91" s="29" t="s">
        <v>888</v>
      </c>
      <c r="N91" s="106" t="s">
        <v>889</v>
      </c>
      <c r="O91" s="34"/>
      <c r="P91" s="31"/>
      <c r="S91" s="2"/>
    </row>
    <row r="92" spans="1:19" x14ac:dyDescent="0.35">
      <c r="A92" s="43">
        <v>44508</v>
      </c>
      <c r="B92" s="14" t="s">
        <v>62</v>
      </c>
      <c r="C92" s="14" t="s">
        <v>808</v>
      </c>
      <c r="D92" s="16">
        <f>F92*E92*0.0015</f>
        <v>1768.0095000000001</v>
      </c>
      <c r="E92" s="14">
        <v>45.685000000000002</v>
      </c>
      <c r="F92" s="14">
        <v>25800</v>
      </c>
      <c r="G92" s="14"/>
      <c r="H92" s="71"/>
      <c r="I92" s="67">
        <f>-115/360*(I91+1)*Table1[[#This Row],[Notes]]</f>
        <v>-2380.6916666666662</v>
      </c>
      <c r="J92" s="24">
        <f>(Table1[[#This Row],[Volume]]*Table1[[#This Row],[Price]]+Table1[[#This Row],[Commission]])</f>
        <v>1180441.0094999999</v>
      </c>
      <c r="K92" s="45">
        <f>477.41+2.8*51.3</f>
        <v>621.04999999999995</v>
      </c>
      <c r="L92" t="s">
        <v>756</v>
      </c>
      <c r="M92" s="29" t="s">
        <v>881</v>
      </c>
      <c r="N92" s="106" t="s">
        <v>883</v>
      </c>
      <c r="O92" s="34"/>
      <c r="P92" s="31"/>
      <c r="S92" s="2"/>
    </row>
    <row r="93" spans="1:19" x14ac:dyDescent="0.35">
      <c r="A93" s="43">
        <v>44502</v>
      </c>
      <c r="B93" s="14" t="s">
        <v>90</v>
      </c>
      <c r="C93" s="14" t="s">
        <v>616</v>
      </c>
      <c r="D93" s="16">
        <f>-F93*E93*0.0025</f>
        <v>1984.2250000000004</v>
      </c>
      <c r="E93" s="14">
        <f>(7.9*28.55+10*28.6+10*28.5)/27.9</f>
        <v>28.550000000000004</v>
      </c>
      <c r="F93" s="14">
        <v>-27800</v>
      </c>
      <c r="G93" s="14"/>
      <c r="H93" s="71">
        <f>Table1[[#This Row],[Result]]/(E94*F94)</f>
        <v>0.11468188884186784</v>
      </c>
      <c r="I93" s="77">
        <f>DATEDIF(A94,A93,"d")-IF(DATEDIF(A94,A93,"d")+1&gt;=6,ROUNDDOWN(((DATEDIF(A94,A93,"d")+1)/7),0)*2,1)+1</f>
        <v>5</v>
      </c>
      <c r="J93" s="61">
        <f>-Table1[[#This Row],[Price]]*Table1[[#This Row],[Volume]]-E94*F94-Table1[[#This Row],[Commission]]-D94+I94</f>
        <v>81297.991000000111</v>
      </c>
      <c r="K93" s="45" t="s">
        <v>803</v>
      </c>
      <c r="L93" t="s">
        <v>756</v>
      </c>
      <c r="M93" s="29" t="s">
        <v>867</v>
      </c>
      <c r="N93" s="106" t="s">
        <v>868</v>
      </c>
      <c r="O93" s="34"/>
      <c r="P93" s="31"/>
      <c r="S93" s="2"/>
    </row>
    <row r="94" spans="1:19" x14ac:dyDescent="0.35">
      <c r="A94" s="43">
        <v>44496</v>
      </c>
      <c r="B94" s="14" t="s">
        <v>62</v>
      </c>
      <c r="C94" s="14" t="s">
        <v>616</v>
      </c>
      <c r="D94" s="16">
        <f>F94*E94*0.0015</f>
        <v>1063.3499999999999</v>
      </c>
      <c r="E94" s="14">
        <v>25.5</v>
      </c>
      <c r="F94" s="14">
        <v>27800</v>
      </c>
      <c r="G94" s="14"/>
      <c r="H94" s="71"/>
      <c r="I94" s="67">
        <f>-444.434</f>
        <v>-444.43400000000003</v>
      </c>
      <c r="J94" s="24">
        <f>(Table1[[#This Row],[Volume]]*Table1[[#This Row],[Price]]+Table1[[#This Row],[Commission]])</f>
        <v>709963.35</v>
      </c>
      <c r="K94" s="45">
        <v>235</v>
      </c>
      <c r="L94" t="s">
        <v>756</v>
      </c>
      <c r="M94" s="29" t="s">
        <v>865</v>
      </c>
      <c r="N94" s="106" t="s">
        <v>866</v>
      </c>
      <c r="O94" s="34"/>
      <c r="P94" s="31"/>
      <c r="S94" s="2"/>
    </row>
    <row r="95" spans="1:19" x14ac:dyDescent="0.35">
      <c r="A95" s="43">
        <v>44488</v>
      </c>
      <c r="B95" s="14" t="s">
        <v>825</v>
      </c>
      <c r="C95" s="14" t="s">
        <v>657</v>
      </c>
      <c r="D95" s="16">
        <f>46.9+68.12+60.3+87.5+26.8+39.14+33.5+48.6+33.5+48.9+13.4+19.5+33.5+48.95+26.8+39.32+33.5+49.15+129.45</f>
        <v>886.82999999999993</v>
      </c>
      <c r="E95" s="14">
        <v>3000</v>
      </c>
      <c r="F95" s="14">
        <v>-10</v>
      </c>
      <c r="G95" s="14"/>
      <c r="H95" s="97"/>
      <c r="I95" s="67"/>
      <c r="J95" s="107">
        <f>-(293.2-264-13)*1000</f>
        <v>-16199.999999999989</v>
      </c>
      <c r="K95" s="45" t="s">
        <v>796</v>
      </c>
      <c r="L95" t="s">
        <v>756</v>
      </c>
      <c r="M95" s="29" t="s">
        <v>863</v>
      </c>
      <c r="N95" s="106" t="s">
        <v>864</v>
      </c>
      <c r="O95" s="34"/>
      <c r="P95" s="31"/>
      <c r="S95" s="2"/>
    </row>
    <row r="96" spans="1:19" x14ac:dyDescent="0.35">
      <c r="A96" s="43">
        <v>44483</v>
      </c>
      <c r="B96" s="14" t="s">
        <v>90</v>
      </c>
      <c r="C96" s="14" t="s">
        <v>258</v>
      </c>
      <c r="D96" s="16">
        <f>-F96*E96*0.0025</f>
        <v>190.25</v>
      </c>
      <c r="E96" s="14">
        <v>38.049999999999997</v>
      </c>
      <c r="F96" s="14">
        <v>-2000</v>
      </c>
      <c r="G96" s="14"/>
      <c r="H96" s="71">
        <f>Table1[[#This Row],[Result]]/(E97*F97)</f>
        <v>-1.4377113133940181E-2</v>
      </c>
      <c r="I96" s="77">
        <f>DATEDIF(A97,A96,"d")-IF(DATEDIF(A97,A96,"d")+1&gt;=6,ROUNDDOWN(((DATEDIF(A97,A96,"d")+1)/7),0)*2,1)+1</f>
        <v>3</v>
      </c>
      <c r="J96" s="59">
        <f>-Table1[[#This Row],[Price]]*Table1[[#This Row],[Volume]]-E97*F97-Table1[[#This Row],[Commission]]-D97+I97</f>
        <v>-1105.5999999999999</v>
      </c>
      <c r="K96" s="45" t="s">
        <v>787</v>
      </c>
      <c r="L96" t="s">
        <v>756</v>
      </c>
      <c r="M96" s="29" t="s">
        <v>861</v>
      </c>
      <c r="N96" s="106" t="s">
        <v>862</v>
      </c>
      <c r="O96" s="34"/>
      <c r="P96" s="31"/>
      <c r="S96" s="2"/>
    </row>
    <row r="97" spans="1:19" x14ac:dyDescent="0.35">
      <c r="A97" s="43">
        <v>44480</v>
      </c>
      <c r="B97" s="14" t="s">
        <v>62</v>
      </c>
      <c r="C97" s="14" t="s">
        <v>258</v>
      </c>
      <c r="D97" s="16">
        <f>F97*E97*0.0015</f>
        <v>115.35000000000001</v>
      </c>
      <c r="E97" s="14">
        <v>38.450000000000003</v>
      </c>
      <c r="F97" s="14">
        <v>2000</v>
      </c>
      <c r="G97" s="14"/>
      <c r="H97" s="71"/>
      <c r="I97" s="67"/>
      <c r="J97" s="24">
        <f>(Table1[[#This Row],[Volume]]*Table1[[#This Row],[Price]]+Table1[[#This Row],[Commission]])</f>
        <v>77015.350000000006</v>
      </c>
      <c r="K97" s="45"/>
      <c r="L97" t="s">
        <v>756</v>
      </c>
      <c r="M97" s="29" t="s">
        <v>858</v>
      </c>
      <c r="N97" s="106" t="s">
        <v>860</v>
      </c>
      <c r="O97" s="34"/>
      <c r="P97" s="31"/>
      <c r="S97" s="2"/>
    </row>
    <row r="98" spans="1:19" x14ac:dyDescent="0.35">
      <c r="A98" s="43">
        <v>44482</v>
      </c>
      <c r="B98" s="14" t="s">
        <v>90</v>
      </c>
      <c r="C98" s="14" t="s">
        <v>616</v>
      </c>
      <c r="D98" s="16">
        <f>-F98*E98*0.0025</f>
        <v>786.5</v>
      </c>
      <c r="E98" s="14">
        <v>24.2</v>
      </c>
      <c r="F98" s="14">
        <v>-13000</v>
      </c>
      <c r="G98" s="14"/>
      <c r="H98" s="71">
        <f>Table1[[#This Row],[Result]]/(E99*F99)</f>
        <v>-1.4199386503067483E-2</v>
      </c>
      <c r="I98" s="77">
        <f>DATEDIF(A99,A98,"d")-IF(DATEDIF(A99,A98,"d")+1&gt;=6,ROUNDDOWN(((DATEDIF(A99,A98,"d")+1)/7),0)*2,1)+1</f>
        <v>6</v>
      </c>
      <c r="J98" s="59">
        <f>-Table1[[#This Row],[Price]]*Table1[[#This Row],[Volume]]-E99*F99-Table1[[#This Row],[Commission]]-D99+I99</f>
        <v>-4513.2749999999996</v>
      </c>
      <c r="K98" s="45" t="s">
        <v>784</v>
      </c>
      <c r="L98" t="s">
        <v>756</v>
      </c>
      <c r="M98" s="29" t="s">
        <v>856</v>
      </c>
      <c r="N98" s="106" t="s">
        <v>857</v>
      </c>
      <c r="O98" s="34"/>
      <c r="P98" s="31"/>
      <c r="S98" s="2"/>
    </row>
    <row r="99" spans="1:19" x14ac:dyDescent="0.35">
      <c r="A99" s="43">
        <v>44477</v>
      </c>
      <c r="B99" s="14" t="s">
        <v>62</v>
      </c>
      <c r="C99" s="14" t="s">
        <v>616</v>
      </c>
      <c r="D99" s="16">
        <f>F99*E99*0.0015</f>
        <v>476.77500000000003</v>
      </c>
      <c r="E99" s="14">
        <v>24.45</v>
      </c>
      <c r="F99" s="14">
        <v>13000</v>
      </c>
      <c r="G99" s="14"/>
      <c r="H99" s="71"/>
      <c r="I99" s="67"/>
      <c r="J99" s="24">
        <f>(Table1[[#This Row],[Volume]]*Table1[[#This Row],[Price]]+Table1[[#This Row],[Commission]])</f>
        <v>318326.77500000002</v>
      </c>
      <c r="K99" s="45"/>
      <c r="L99" t="s">
        <v>756</v>
      </c>
      <c r="M99" s="29" t="s">
        <v>844</v>
      </c>
      <c r="N99" s="106" t="s">
        <v>845</v>
      </c>
      <c r="O99" s="34"/>
      <c r="P99" s="31"/>
      <c r="S99" s="2"/>
    </row>
    <row r="100" spans="1:19" x14ac:dyDescent="0.35">
      <c r="A100" s="43">
        <v>44481</v>
      </c>
      <c r="B100" s="14" t="s">
        <v>90</v>
      </c>
      <c r="C100" s="14" t="s">
        <v>776</v>
      </c>
      <c r="D100" s="16">
        <f>-F100*E100*0.0025</f>
        <v>83.75</v>
      </c>
      <c r="E100" s="14">
        <v>33.5</v>
      </c>
      <c r="F100" s="14">
        <v>-1000</v>
      </c>
      <c r="G100" s="14"/>
      <c r="H100" s="71">
        <f>Table1[[#This Row],[Result]]/(E101*F101)</f>
        <v>8.054380664652569E-3</v>
      </c>
      <c r="I100" s="77">
        <f>DATEDIF(A101,A100,"d")-IF(DATEDIF(A101,A100,"d")+1&gt;=6,ROUNDDOWN(((DATEDIF(A101,A100,"d")+1)/7),0)*2,1)+1</f>
        <v>6</v>
      </c>
      <c r="J100" s="61">
        <f>-Table1[[#This Row],[Price]]*Table1[[#This Row],[Volume]]-E101*F101-Table1[[#This Row],[Commission]]-D101+I101</f>
        <v>266.60000000000002</v>
      </c>
      <c r="K100" s="45" t="s">
        <v>781</v>
      </c>
      <c r="L100" t="s">
        <v>756</v>
      </c>
      <c r="M100" s="29" t="s">
        <v>839</v>
      </c>
      <c r="N100" s="106" t="s">
        <v>840</v>
      </c>
      <c r="O100" s="34"/>
      <c r="P100" s="31"/>
      <c r="S100" s="2"/>
    </row>
    <row r="101" spans="1:19" x14ac:dyDescent="0.35">
      <c r="A101" s="43">
        <v>44476</v>
      </c>
      <c r="B101" s="14" t="s">
        <v>62</v>
      </c>
      <c r="C101" s="14" t="s">
        <v>776</v>
      </c>
      <c r="D101" s="16">
        <f>F101*E101*0.0015</f>
        <v>49.65</v>
      </c>
      <c r="E101" s="14">
        <v>33.1</v>
      </c>
      <c r="F101" s="14">
        <v>1000</v>
      </c>
      <c r="G101" s="14"/>
      <c r="H101" s="71"/>
      <c r="I101" s="67"/>
      <c r="J101" s="24">
        <f>(Table1[[#This Row],[Volume]]*Table1[[#This Row],[Price]]+Table1[[#This Row],[Commission]])</f>
        <v>33149.65</v>
      </c>
      <c r="K101" s="45"/>
      <c r="L101" t="s">
        <v>756</v>
      </c>
      <c r="M101" s="29" t="s">
        <v>837</v>
      </c>
      <c r="N101" s="106" t="s">
        <v>838</v>
      </c>
      <c r="O101" s="34"/>
      <c r="P101" s="31"/>
      <c r="S101" s="2"/>
    </row>
    <row r="102" spans="1:19" x14ac:dyDescent="0.35">
      <c r="A102" s="43">
        <v>44481</v>
      </c>
      <c r="B102" s="14" t="s">
        <v>90</v>
      </c>
      <c r="C102" s="14" t="s">
        <v>196</v>
      </c>
      <c r="D102" s="16">
        <f>-F102*E102*0.0025</f>
        <v>1825</v>
      </c>
      <c r="E102" s="14">
        <v>36.5</v>
      </c>
      <c r="F102" s="14">
        <v>-20000</v>
      </c>
      <c r="G102" s="14"/>
      <c r="H102" s="71">
        <f>Table1[[#This Row],[Result]]/(E103*F103)</f>
        <v>3.3835704125177807E-2</v>
      </c>
      <c r="I102" s="77">
        <f>DATEDIF(A103,A102,"d")-IF(DATEDIF(A103,A102,"d")+1&gt;=6,ROUNDDOWN(((DATEDIF(A103,A102,"d")+1)/7),0)*2,1)+1</f>
        <v>6</v>
      </c>
      <c r="J102" s="61">
        <f>-Table1[[#This Row],[Price]]*Table1[[#This Row],[Volume]]-E103*F103-Table1[[#This Row],[Commission]]-D103+I103</f>
        <v>23786.5</v>
      </c>
      <c r="K102" s="45" t="s">
        <v>777</v>
      </c>
      <c r="L102" t="s">
        <v>756</v>
      </c>
      <c r="M102" s="29" t="s">
        <v>834</v>
      </c>
      <c r="N102" s="106" t="s">
        <v>835</v>
      </c>
      <c r="O102" s="34"/>
      <c r="P102" s="31"/>
      <c r="S102" s="2"/>
    </row>
    <row r="103" spans="1:19" x14ac:dyDescent="0.35">
      <c r="A103" s="43">
        <v>44476</v>
      </c>
      <c r="B103" s="14" t="s">
        <v>62</v>
      </c>
      <c r="C103" s="14" t="s">
        <v>196</v>
      </c>
      <c r="D103" s="16">
        <f>F103*E103*0.0015</f>
        <v>1054.5</v>
      </c>
      <c r="E103" s="14">
        <v>35.15</v>
      </c>
      <c r="F103" s="14">
        <v>20000</v>
      </c>
      <c r="G103" s="14"/>
      <c r="H103" s="71"/>
      <c r="I103" s="67">
        <f>-112*3+2</f>
        <v>-334</v>
      </c>
      <c r="J103" s="24">
        <f>(Table1[[#This Row],[Volume]]*Table1[[#This Row],[Price]]+Table1[[#This Row],[Commission]])</f>
        <v>704054.5</v>
      </c>
      <c r="K103" s="45" t="s">
        <v>780</v>
      </c>
      <c r="L103" t="s">
        <v>756</v>
      </c>
      <c r="M103" s="29" t="s">
        <v>831</v>
      </c>
      <c r="N103" s="106" t="s">
        <v>832</v>
      </c>
      <c r="O103" s="34"/>
      <c r="P103" s="31"/>
      <c r="S103" s="2"/>
    </row>
    <row r="104" spans="1:19" x14ac:dyDescent="0.35">
      <c r="A104" s="43">
        <v>44468</v>
      </c>
      <c r="B104" s="14" t="s">
        <v>90</v>
      </c>
      <c r="C104" s="14" t="s">
        <v>199</v>
      </c>
      <c r="D104" s="16">
        <f>-F104*E104*0.0025</f>
        <v>90.875</v>
      </c>
      <c r="E104" s="14">
        <v>7.27</v>
      </c>
      <c r="F104" s="14">
        <v>-5000</v>
      </c>
      <c r="G104" s="14"/>
      <c r="H104" s="71">
        <f>Table1[[#This Row],[Result]]/(E105*F105)</f>
        <v>-0.15034683098591548</v>
      </c>
      <c r="I104" s="77">
        <f>DATEDIF(A105,A104,"d")-IF(DATEDIF(A105,A104,"d")+1&gt;=6,ROUNDDOWN(((DATEDIF(A105,A104,"d")+1)/7),0)*2,1)+1</f>
        <v>5</v>
      </c>
      <c r="J104" s="59">
        <f>-Table1[[#This Row],[Price]]*Table1[[#This Row],[Volume]]-E105*F105-Table1[[#This Row],[Commission]]-D105+I105</f>
        <v>-6404.7749999999996</v>
      </c>
      <c r="K104" s="45" t="s">
        <v>761</v>
      </c>
      <c r="L104" t="s">
        <v>756</v>
      </c>
      <c r="M104" s="29" t="s">
        <v>829</v>
      </c>
      <c r="N104" s="106" t="s">
        <v>830</v>
      </c>
      <c r="O104" s="34"/>
      <c r="P104" s="31"/>
      <c r="S104" s="2"/>
    </row>
    <row r="105" spans="1:19" x14ac:dyDescent="0.35">
      <c r="A105" s="43">
        <v>44462</v>
      </c>
      <c r="B105" s="14" t="s">
        <v>62</v>
      </c>
      <c r="C105" s="14" t="s">
        <v>199</v>
      </c>
      <c r="D105" s="16">
        <f>F105*E105*0.0015</f>
        <v>63.9</v>
      </c>
      <c r="E105" s="14">
        <v>8.52</v>
      </c>
      <c r="F105" s="14">
        <v>5000</v>
      </c>
      <c r="G105" s="14"/>
      <c r="H105" s="71"/>
      <c r="I105" s="67"/>
      <c r="J105" s="24">
        <f>(Table1[[#This Row],[Volume]]*Table1[[#This Row],[Price]]+Table1[[#This Row],[Commission]])</f>
        <v>42663.9</v>
      </c>
      <c r="K105" s="45"/>
      <c r="L105" t="s">
        <v>756</v>
      </c>
      <c r="M105" s="29" t="s">
        <v>827</v>
      </c>
      <c r="N105" s="106" t="s">
        <v>828</v>
      </c>
      <c r="O105" s="34"/>
      <c r="P105" s="31"/>
      <c r="S105" s="2"/>
    </row>
    <row r="106" spans="1:19" x14ac:dyDescent="0.35">
      <c r="A106" s="43">
        <v>44468</v>
      </c>
      <c r="B106" s="14" t="s">
        <v>90</v>
      </c>
      <c r="C106" s="14" t="s">
        <v>196</v>
      </c>
      <c r="D106" s="16">
        <f>-F106*E106*0.0025</f>
        <v>2796.5</v>
      </c>
      <c r="E106" s="14">
        <v>65.8</v>
      </c>
      <c r="F106" s="14">
        <v>-17000</v>
      </c>
      <c r="G106" s="14"/>
      <c r="H106" s="71">
        <f>Table1[[#This Row],[Result]]/(E107*F107)</f>
        <v>-1.6571983748454335E-2</v>
      </c>
      <c r="I106" s="77">
        <f>DATEDIF(A107,A106,"d")-IF(DATEDIF(A107,A106,"d")+1&gt;=6,ROUNDDOWN(((DATEDIF(A107,A106,"d")+1)/7),0)*2,1)+1</f>
        <v>5</v>
      </c>
      <c r="J106" s="59">
        <f>-Table1[[#This Row],[Price]]*Table1[[#This Row],[Volume]]-E107*F107-Table1[[#This Row],[Commission]]-D107+I107</f>
        <v>-18762.8</v>
      </c>
      <c r="K106" s="45" t="s">
        <v>762</v>
      </c>
      <c r="L106" t="s">
        <v>756</v>
      </c>
      <c r="M106" s="29" t="s">
        <v>823</v>
      </c>
      <c r="N106" s="106" t="s">
        <v>824</v>
      </c>
      <c r="O106" s="34"/>
      <c r="P106" s="31"/>
      <c r="S106" s="2"/>
    </row>
    <row r="107" spans="1:19" x14ac:dyDescent="0.35">
      <c r="A107" s="43">
        <v>44462</v>
      </c>
      <c r="B107" s="14" t="s">
        <v>62</v>
      </c>
      <c r="C107" s="14" t="s">
        <v>196</v>
      </c>
      <c r="D107" s="16">
        <f>F107*E107*0.0015</f>
        <v>1698.3</v>
      </c>
      <c r="E107" s="14">
        <v>66.599999999999994</v>
      </c>
      <c r="F107" s="14">
        <v>17000</v>
      </c>
      <c r="G107" s="14"/>
      <c r="H107" s="71"/>
      <c r="I107" s="67">
        <f>-167*4</f>
        <v>-668</v>
      </c>
      <c r="J107" s="24">
        <f>(Table1[[#This Row],[Volume]]*Table1[[#This Row],[Price]]+Table1[[#This Row],[Commission]])</f>
        <v>1133898.3</v>
      </c>
      <c r="K107" s="45"/>
      <c r="L107" t="s">
        <v>756</v>
      </c>
      <c r="M107" s="29" t="s">
        <v>820</v>
      </c>
      <c r="N107" s="106" t="s">
        <v>821</v>
      </c>
      <c r="O107" s="34"/>
      <c r="P107" s="31"/>
      <c r="S107" s="2"/>
    </row>
    <row r="108" spans="1:19" x14ac:dyDescent="0.35">
      <c r="A108" s="43">
        <v>44460</v>
      </c>
      <c r="B108" s="14" t="s">
        <v>90</v>
      </c>
      <c r="C108" s="14" t="s">
        <v>196</v>
      </c>
      <c r="D108" s="16">
        <f>-F108*E108*0.0025</f>
        <v>2868.75</v>
      </c>
      <c r="E108" s="14">
        <v>67.5</v>
      </c>
      <c r="F108" s="14">
        <v>-17000</v>
      </c>
      <c r="G108" s="14"/>
      <c r="H108" s="71">
        <f>Table1[[#This Row],[Result]]/(E109*F109)</f>
        <v>4.8721533516988061E-2</v>
      </c>
      <c r="I108" s="77">
        <f>DATEDIF(A109,A108,"d")-IF(DATEDIF(A109,A108,"d")+1&gt;=6,ROUNDDOWN(((DATEDIF(A109,A108,"d")+1)/7),0)*2,1)+1</f>
        <v>6</v>
      </c>
      <c r="J108" s="61">
        <f>-Table1[[#This Row],[Price]]*Table1[[#This Row],[Volume]]-E109*F109-Table1[[#This Row],[Commission]]-D109+I109</f>
        <v>53057.75</v>
      </c>
      <c r="K108" s="45" t="s">
        <v>758</v>
      </c>
      <c r="L108" t="s">
        <v>756</v>
      </c>
      <c r="M108" s="29" t="s">
        <v>818</v>
      </c>
      <c r="N108" s="106" t="s">
        <v>819</v>
      </c>
      <c r="O108" s="34"/>
      <c r="P108" s="31"/>
      <c r="S108" s="2"/>
    </row>
    <row r="109" spans="1:19" x14ac:dyDescent="0.35">
      <c r="A109" s="43">
        <v>44453</v>
      </c>
      <c r="B109" s="14" t="s">
        <v>62</v>
      </c>
      <c r="C109" s="14" t="s">
        <v>196</v>
      </c>
      <c r="D109" s="16">
        <f>F109*E109*0.0015</f>
        <v>1633.5</v>
      </c>
      <c r="E109" s="14">
        <f>(12*64+5*64.2)/17</f>
        <v>64.058823529411768</v>
      </c>
      <c r="F109" s="14">
        <v>17000</v>
      </c>
      <c r="G109" s="14"/>
      <c r="H109" s="71"/>
      <c r="I109" s="67">
        <v>-940</v>
      </c>
      <c r="J109" s="24">
        <f>(Table1[[#This Row],[Volume]]*Table1[[#This Row],[Price]]+Table1[[#This Row],[Commission]])</f>
        <v>1090633.5</v>
      </c>
      <c r="K109" s="45"/>
      <c r="L109" t="s">
        <v>756</v>
      </c>
      <c r="M109" s="29" t="s">
        <v>816</v>
      </c>
      <c r="N109" s="106" t="s">
        <v>817</v>
      </c>
      <c r="O109" s="34"/>
      <c r="P109" s="31"/>
      <c r="S109" s="2"/>
    </row>
    <row r="110" spans="1:19" x14ac:dyDescent="0.35">
      <c r="A110" s="43">
        <v>44452</v>
      </c>
      <c r="B110" s="14" t="s">
        <v>90</v>
      </c>
      <c r="C110" s="14" t="s">
        <v>196</v>
      </c>
      <c r="D110" s="16">
        <f>-F110*E110*0.0025</f>
        <v>2758.25</v>
      </c>
      <c r="E110" s="14">
        <v>64.900000000000006</v>
      </c>
      <c r="F110" s="14">
        <v>-17000</v>
      </c>
      <c r="G110" s="14"/>
      <c r="H110" s="71">
        <f>Table1[[#This Row],[Result]]/(E111*F111)</f>
        <v>4.0127273588480714E-2</v>
      </c>
      <c r="I110" s="77">
        <f>DATEDIF(A111,A110,"d")-IF(DATEDIF(A111,A110,"d")+1&gt;=6,ROUNDDOWN(((DATEDIF(A111,A110,"d")+1)/7),0)*2,1)+1</f>
        <v>11</v>
      </c>
      <c r="J110" s="61">
        <f>-Table1[[#This Row],[Price]]*Table1[[#This Row],[Volume]]-E111*F111-Table1[[#This Row],[Commission]]-D111+I111</f>
        <v>42358.350000000231</v>
      </c>
      <c r="K110" s="45" t="s">
        <v>744</v>
      </c>
      <c r="L110" t="s">
        <v>756</v>
      </c>
      <c r="M110" s="29" t="s">
        <v>813</v>
      </c>
      <c r="N110" s="106" t="s">
        <v>814</v>
      </c>
      <c r="O110" s="34"/>
      <c r="P110" s="31"/>
      <c r="S110" s="2"/>
    </row>
    <row r="111" spans="1:19" x14ac:dyDescent="0.35">
      <c r="A111" s="43">
        <v>44438</v>
      </c>
      <c r="B111" s="14" t="s">
        <v>62</v>
      </c>
      <c r="C111" s="14" t="s">
        <v>196</v>
      </c>
      <c r="D111" s="16">
        <f>F111*E111*0.0015</f>
        <v>1583.3999999999996</v>
      </c>
      <c r="E111" s="14">
        <f>(5*61.2+3.2*61.9+1.8*61.4+7*63)/17</f>
        <v>62.094117647058816</v>
      </c>
      <c r="F111" s="14">
        <v>17000</v>
      </c>
      <c r="G111" s="14"/>
      <c r="H111" s="71"/>
      <c r="I111" s="67">
        <v>-1000</v>
      </c>
      <c r="J111" s="24">
        <f>(Table1[[#This Row],[Volume]]*Table1[[#This Row],[Price]]+Table1[[#This Row],[Commission]])</f>
        <v>1057183.3999999997</v>
      </c>
      <c r="K111" s="45" t="s">
        <v>735</v>
      </c>
      <c r="L111" t="s">
        <v>756</v>
      </c>
      <c r="M111" s="29" t="s">
        <v>811</v>
      </c>
      <c r="N111" s="106" t="s">
        <v>812</v>
      </c>
      <c r="O111" s="34"/>
      <c r="P111" s="31"/>
      <c r="S111" s="2"/>
    </row>
    <row r="112" spans="1:19" x14ac:dyDescent="0.35">
      <c r="A112" s="43">
        <v>44426</v>
      </c>
      <c r="B112" s="14" t="s">
        <v>825</v>
      </c>
      <c r="C112" s="14" t="s">
        <v>657</v>
      </c>
      <c r="D112" s="16">
        <f>320+507+1500</f>
        <v>2327</v>
      </c>
      <c r="E112" s="14">
        <v>1489</v>
      </c>
      <c r="F112" s="14">
        <v>7</v>
      </c>
      <c r="G112" s="14"/>
      <c r="H112" s="97">
        <f>35/250</f>
        <v>0.14000000000000001</v>
      </c>
      <c r="I112" s="67"/>
      <c r="J112" s="105">
        <v>35000</v>
      </c>
      <c r="K112" s="45" t="s">
        <v>734</v>
      </c>
      <c r="L112" t="s">
        <v>756</v>
      </c>
      <c r="M112" s="29" t="s">
        <v>809</v>
      </c>
      <c r="N112" s="106" t="s">
        <v>810</v>
      </c>
      <c r="O112" s="34"/>
      <c r="P112" s="31"/>
      <c r="S112" s="2"/>
    </row>
    <row r="113" spans="1:19" x14ac:dyDescent="0.35">
      <c r="A113" s="43">
        <v>44420</v>
      </c>
      <c r="B113" s="14" t="s">
        <v>90</v>
      </c>
      <c r="C113" s="14" t="s">
        <v>713</v>
      </c>
      <c r="D113" s="16">
        <f>-F113*E113*0.0035</f>
        <v>323.75</v>
      </c>
      <c r="E113" s="14">
        <f>(46.2+46.3)/2</f>
        <v>46.25</v>
      </c>
      <c r="F113" s="14">
        <v>-2000</v>
      </c>
      <c r="G113" s="14"/>
      <c r="H113" s="71">
        <f>Table1[[#This Row],[Result]]/(E114*F114)</f>
        <v>4.0537938844846938E-2</v>
      </c>
      <c r="I113" s="77">
        <f>DATEDIF(A114,A113,"d")-IF(DATEDIF(A114,A113,"d")+1&gt;=6,ROUNDDOWN(((DATEDIF(A114,A113,"d")+1)/7),0)*2,1)+1</f>
        <v>3</v>
      </c>
      <c r="J113" s="61">
        <f>-Table1[[#This Row],[Price]]*Table1[[#This Row],[Volume]]-E114*F114-Table1[[#This Row],[Commission]]-D114+I114</f>
        <v>3579.4999999999854</v>
      </c>
      <c r="K113" s="45" t="s">
        <v>725</v>
      </c>
      <c r="L113" t="s">
        <v>756</v>
      </c>
      <c r="M113" s="29" t="s">
        <v>806</v>
      </c>
      <c r="N113" s="106" t="s">
        <v>807</v>
      </c>
      <c r="O113" s="34"/>
      <c r="P113" s="31"/>
      <c r="S113" s="2"/>
    </row>
    <row r="114" spans="1:19" x14ac:dyDescent="0.35">
      <c r="A114" s="43">
        <v>44417</v>
      </c>
      <c r="B114" s="14" t="s">
        <v>62</v>
      </c>
      <c r="C114" s="14" t="s">
        <v>713</v>
      </c>
      <c r="D114" s="16">
        <f>F114*E114*0.0025</f>
        <v>220.75000000000003</v>
      </c>
      <c r="E114" s="14">
        <f>(43.2+1*45.1+0*32)/2</f>
        <v>44.150000000000006</v>
      </c>
      <c r="F114" s="14">
        <v>2000</v>
      </c>
      <c r="G114" s="14"/>
      <c r="H114" s="71"/>
      <c r="I114" s="67">
        <v>-76</v>
      </c>
      <c r="J114" s="24">
        <f>(Table1[[#This Row],[Volume]]*Table1[[#This Row],[Price]]+Table1[[#This Row],[Commission]])</f>
        <v>88520.750000000015</v>
      </c>
      <c r="K114" s="45" t="s">
        <v>723</v>
      </c>
      <c r="L114" t="s">
        <v>756</v>
      </c>
      <c r="M114" s="29" t="s">
        <v>801</v>
      </c>
      <c r="N114" s="106" t="s">
        <v>802</v>
      </c>
      <c r="O114" s="34"/>
      <c r="P114" s="31"/>
      <c r="S114" s="2"/>
    </row>
    <row r="115" spans="1:19" x14ac:dyDescent="0.35">
      <c r="A115" s="43">
        <f>A116+3</f>
        <v>44407</v>
      </c>
      <c r="B115" s="14" t="s">
        <v>90</v>
      </c>
      <c r="C115" s="14" t="s">
        <v>206</v>
      </c>
      <c r="D115" s="16">
        <f>-F115*E115*0.0035</f>
        <v>66.9375</v>
      </c>
      <c r="E115" s="14">
        <v>38.25</v>
      </c>
      <c r="F115" s="14">
        <v>-500</v>
      </c>
      <c r="G115" s="14"/>
      <c r="H115" s="71">
        <f>Table1[[#This Row],[Result]]/(E116*F116)</f>
        <v>4.6086657496561212E-2</v>
      </c>
      <c r="I115" s="77">
        <f>DATEDIF(A116,A115,"d")-IF(DATEDIF(A116,A115,"d")+1&gt;=6,ROUNDDOWN(((DATEDIF(A116,A115,"d")+1)/7),0)*2,1)+1</f>
        <v>3</v>
      </c>
      <c r="J115" s="61">
        <f>-Table1[[#This Row],[Price]]*Table1[[#This Row],[Volume]]-E116*F116-Table1[[#This Row],[Commission]]-D116</f>
        <v>837.625</v>
      </c>
      <c r="K115" s="45" t="s">
        <v>718</v>
      </c>
      <c r="L115" t="s">
        <v>756</v>
      </c>
      <c r="M115" s="29" t="s">
        <v>799</v>
      </c>
      <c r="N115" s="106" t="s">
        <v>800</v>
      </c>
      <c r="O115" s="34"/>
      <c r="P115" s="31"/>
      <c r="S115" s="2"/>
    </row>
    <row r="116" spans="1:19" x14ac:dyDescent="0.35">
      <c r="A116" s="43">
        <v>44404</v>
      </c>
      <c r="B116" s="14" t="s">
        <v>62</v>
      </c>
      <c r="C116" s="14" t="s">
        <v>206</v>
      </c>
      <c r="D116" s="16">
        <f>F116*E116*0.0025</f>
        <v>45.4375</v>
      </c>
      <c r="E116" s="14">
        <v>36.35</v>
      </c>
      <c r="F116" s="14">
        <v>500</v>
      </c>
      <c r="G116" s="14"/>
      <c r="H116" s="71"/>
      <c r="I116" s="67"/>
      <c r="J116" s="24">
        <f>(Table1[[#This Row],[Volume]]*Table1[[#This Row],[Price]]+Table1[[#This Row],[Commission]])</f>
        <v>18220.4375</v>
      </c>
      <c r="K116" s="45" t="s">
        <v>717</v>
      </c>
      <c r="L116" t="s">
        <v>756</v>
      </c>
      <c r="M116" s="29" t="s">
        <v>797</v>
      </c>
      <c r="N116" s="106" t="s">
        <v>798</v>
      </c>
      <c r="O116" s="34"/>
      <c r="P116" s="31"/>
      <c r="S116" s="2"/>
    </row>
    <row r="117" spans="1:19" x14ac:dyDescent="0.35">
      <c r="A117" s="43">
        <v>44397</v>
      </c>
      <c r="B117" s="14" t="s">
        <v>90</v>
      </c>
      <c r="C117" s="14" t="s">
        <v>207</v>
      </c>
      <c r="D117" s="16">
        <f>-F117*E117*0.0035</f>
        <v>434.875</v>
      </c>
      <c r="E117" s="14">
        <f>(3000*31.3+1000*30.35)/4000</f>
        <v>31.0625</v>
      </c>
      <c r="F117" s="14">
        <v>-4000</v>
      </c>
      <c r="G117" s="14"/>
      <c r="H117" s="71">
        <f>Table1[[#This Row],[Result]]/(E118*F118)</f>
        <v>-6.2514258555133081E-2</v>
      </c>
      <c r="I117" s="77">
        <f>DATEDIF(A118,A117,"d")-IF(DATEDIF(A118,A117,"d")+1&gt;=6,ROUNDDOWN(((DATEDIF(A118,A117,"d")+1)/7),0)*2,1)+1</f>
        <v>5</v>
      </c>
      <c r="J117" s="59">
        <f>-Table1[[#This Row],[Price]]*Table1[[#This Row],[Volume]]-E118*F118-Table1[[#This Row],[Commission]]-D118+I118</f>
        <v>-8220.625</v>
      </c>
      <c r="K117" s="45" t="s">
        <v>707</v>
      </c>
      <c r="L117" t="s">
        <v>756</v>
      </c>
      <c r="M117" s="29" t="s">
        <v>794</v>
      </c>
      <c r="N117" s="106" t="s">
        <v>795</v>
      </c>
      <c r="O117" s="34"/>
      <c r="P117" s="31"/>
      <c r="S117" s="2"/>
    </row>
    <row r="118" spans="1:19" x14ac:dyDescent="0.35">
      <c r="A118" s="43">
        <v>44391</v>
      </c>
      <c r="B118" s="14" t="s">
        <v>62</v>
      </c>
      <c r="C118" s="14" t="s">
        <v>207</v>
      </c>
      <c r="D118" s="16">
        <f>F118*E118*0.0025</f>
        <v>328.75</v>
      </c>
      <c r="E118" s="14">
        <f>((2000*32.95)+(1000*32.7)+(1000*32.9))/4000</f>
        <v>32.875</v>
      </c>
      <c r="F118" s="14">
        <v>4000</v>
      </c>
      <c r="G118" s="14"/>
      <c r="H118" s="71"/>
      <c r="I118" s="67">
        <v>-207</v>
      </c>
      <c r="J118" s="24">
        <f>(Table1[[#This Row],[Volume]]*Table1[[#This Row],[Price]]+Table1[[#This Row],[Commission]])</f>
        <v>131828.75</v>
      </c>
      <c r="K118" s="45" t="s">
        <v>705</v>
      </c>
      <c r="L118" t="s">
        <v>756</v>
      </c>
      <c r="M118" s="29" t="s">
        <v>792</v>
      </c>
      <c r="N118" s="106" t="s">
        <v>793</v>
      </c>
      <c r="O118" s="34"/>
      <c r="P118" s="31"/>
      <c r="S118" s="2"/>
    </row>
    <row r="119" spans="1:19" x14ac:dyDescent="0.35">
      <c r="A119" s="43">
        <v>44391</v>
      </c>
      <c r="B119" s="14" t="s">
        <v>90</v>
      </c>
      <c r="C119" s="14" t="s">
        <v>690</v>
      </c>
      <c r="D119" s="16">
        <f>-F119*E119*0.0035</f>
        <v>47.25</v>
      </c>
      <c r="E119" s="14">
        <v>27</v>
      </c>
      <c r="F119" s="14">
        <v>-500</v>
      </c>
      <c r="G119" s="14"/>
      <c r="H119" s="71">
        <f>Table1[[#This Row],[Result]]/(E120*F120)</f>
        <v>-0.10564999999999999</v>
      </c>
      <c r="I119" s="77">
        <f>DATEDIF(A120,A119,"d")-IF(DATEDIF(A120,A119,"d")+1&gt;=6,ROUNDDOWN(((DATEDIF(A120,A119,"d")+1)/7),0)*2,1)+1</f>
        <v>6</v>
      </c>
      <c r="J119" s="59">
        <f>-Table1[[#This Row],[Price]]*Table1[[#This Row],[Volume]]-E120*F120-Table1[[#This Row],[Commission]]-D120+I120</f>
        <v>-1584.75</v>
      </c>
      <c r="K119" s="45" t="s">
        <v>700</v>
      </c>
      <c r="L119" t="s">
        <v>756</v>
      </c>
      <c r="M119" s="29" t="s">
        <v>790</v>
      </c>
      <c r="N119" s="106" t="s">
        <v>791</v>
      </c>
      <c r="O119" s="34"/>
      <c r="P119" s="31"/>
      <c r="S119" s="2"/>
    </row>
    <row r="120" spans="1:19" x14ac:dyDescent="0.35">
      <c r="A120" s="43">
        <v>44384</v>
      </c>
      <c r="B120" s="14" t="s">
        <v>62</v>
      </c>
      <c r="C120" s="14" t="s">
        <v>690</v>
      </c>
      <c r="D120" s="16">
        <f>F120*E120*0.0025</f>
        <v>37.5</v>
      </c>
      <c r="E120" s="14">
        <v>30</v>
      </c>
      <c r="F120" s="14">
        <v>500</v>
      </c>
      <c r="G120" s="14"/>
      <c r="H120" s="71"/>
      <c r="I120" s="67"/>
      <c r="J120" s="24">
        <f>(Table1[[#This Row],[Volume]]*Table1[[#This Row],[Price]]+Table1[[#This Row],[Commission]])</f>
        <v>15037.5</v>
      </c>
      <c r="K120" s="45" t="s">
        <v>706</v>
      </c>
      <c r="L120" t="s">
        <v>756</v>
      </c>
      <c r="M120" s="29" t="s">
        <v>788</v>
      </c>
      <c r="N120" s="106" t="s">
        <v>789</v>
      </c>
      <c r="O120" s="34"/>
      <c r="P120" s="31"/>
      <c r="S120" s="2"/>
    </row>
    <row r="121" spans="1:19" x14ac:dyDescent="0.35">
      <c r="A121" s="43">
        <v>44379</v>
      </c>
      <c r="B121" s="14" t="s">
        <v>90</v>
      </c>
      <c r="C121" s="14" t="s">
        <v>690</v>
      </c>
      <c r="D121" s="16">
        <f>-F121*E121*0.0035</f>
        <v>593.25</v>
      </c>
      <c r="E121" s="14">
        <v>33.9</v>
      </c>
      <c r="F121" s="14">
        <v>-5000</v>
      </c>
      <c r="G121" s="14"/>
      <c r="H121" s="71">
        <f>Table1[[#This Row],[Result]]/(E122*F122)</f>
        <v>7.3078025477707004E-2</v>
      </c>
      <c r="I121" s="77">
        <f>DATEDIF(A122,A121,"d")-IF(DATEDIF(A122,A121,"d")+1&gt;=6,ROUNDDOWN(((DATEDIF(A122,A121,"d")+1)/7),0)*2,1)+1</f>
        <v>4</v>
      </c>
      <c r="J121" s="61">
        <f>-Table1[[#This Row],[Price]]*Table1[[#This Row],[Volume]]-E122*F122-Table1[[#This Row],[Commission]]-D122+I122</f>
        <v>11473.25</v>
      </c>
      <c r="K121" s="45" t="s">
        <v>693</v>
      </c>
      <c r="L121" t="s">
        <v>756</v>
      </c>
      <c r="M121" s="29" t="s">
        <v>785</v>
      </c>
      <c r="N121" s="106" t="s">
        <v>786</v>
      </c>
      <c r="O121" s="34"/>
      <c r="P121" s="31"/>
      <c r="S121" s="2"/>
    </row>
    <row r="122" spans="1:19" x14ac:dyDescent="0.35">
      <c r="A122" s="43">
        <v>44375</v>
      </c>
      <c r="B122" s="14" t="s">
        <v>62</v>
      </c>
      <c r="C122" s="14" t="s">
        <v>690</v>
      </c>
      <c r="D122" s="16">
        <f>F122*E122*0.0025</f>
        <v>392.5</v>
      </c>
      <c r="E122" s="14">
        <v>31.4</v>
      </c>
      <c r="F122" s="14">
        <v>5000</v>
      </c>
      <c r="G122" s="14"/>
      <c r="H122" s="71"/>
      <c r="I122" s="67">
        <f>-41</f>
        <v>-41</v>
      </c>
      <c r="J122" s="24">
        <f>(Table1[[#This Row],[Volume]]*Table1[[#This Row],[Price]]+Table1[[#This Row],[Commission]])</f>
        <v>157392.5</v>
      </c>
      <c r="K122" s="45" t="s">
        <v>692</v>
      </c>
      <c r="L122" t="s">
        <v>756</v>
      </c>
      <c r="M122" s="29" t="s">
        <v>782</v>
      </c>
      <c r="N122" s="106" t="s">
        <v>783</v>
      </c>
      <c r="P122" s="31"/>
      <c r="S122" s="2"/>
    </row>
    <row r="123" spans="1:19" x14ac:dyDescent="0.35">
      <c r="A123" s="43">
        <v>44370</v>
      </c>
      <c r="B123" s="14" t="s">
        <v>62</v>
      </c>
      <c r="C123" s="14" t="s">
        <v>657</v>
      </c>
      <c r="D123" s="16">
        <f>5.5+10+24.816+17.5+15+37.3+5.5</f>
        <v>115.616</v>
      </c>
      <c r="E123" s="14">
        <v>1484</v>
      </c>
      <c r="F123" s="14">
        <v>-1</v>
      </c>
      <c r="G123" s="14"/>
      <c r="H123" s="71">
        <f>ROUNDUP(Table1[[#This Row],[Result]]/258480,2)</f>
        <v>0.01</v>
      </c>
      <c r="I123" s="77">
        <f>DATEDIF(A124,A123,"d")-IF(DATEDIF(A124,A123,"d")+1&gt;=6,ROUNDDOWN(((DATEDIF(A124,A123,"d")+1)/7),0)*2,1)+1</f>
        <v>1</v>
      </c>
      <c r="J123" s="61">
        <v>1121</v>
      </c>
      <c r="K123" s="45"/>
      <c r="L123" t="s">
        <v>756</v>
      </c>
      <c r="M123" s="29" t="s">
        <v>778</v>
      </c>
      <c r="N123" s="34" t="s">
        <v>779</v>
      </c>
      <c r="O123" s="34"/>
      <c r="P123" s="31"/>
      <c r="S123" s="2"/>
    </row>
    <row r="124" spans="1:19" x14ac:dyDescent="0.35">
      <c r="A124" s="43">
        <v>44369</v>
      </c>
      <c r="B124" s="14" t="s">
        <v>90</v>
      </c>
      <c r="C124" s="14" t="s">
        <v>657</v>
      </c>
      <c r="D124" s="16"/>
      <c r="E124" s="14">
        <v>1488</v>
      </c>
      <c r="F124" s="14">
        <v>1</v>
      </c>
      <c r="G124" s="14"/>
      <c r="H124" s="71"/>
      <c r="I124" s="67"/>
      <c r="J124" s="24"/>
      <c r="K124" s="96" t="s">
        <v>685</v>
      </c>
      <c r="L124" t="s">
        <v>756</v>
      </c>
      <c r="M124" s="29" t="s">
        <v>774</v>
      </c>
      <c r="N124" s="34" t="s">
        <v>775</v>
      </c>
      <c r="O124" s="34"/>
      <c r="P124" s="31"/>
      <c r="S124" s="2"/>
    </row>
    <row r="125" spans="1:19" x14ac:dyDescent="0.35">
      <c r="A125" s="43">
        <v>44397</v>
      </c>
      <c r="B125" s="14" t="s">
        <v>90</v>
      </c>
      <c r="C125" s="14" t="s">
        <v>677</v>
      </c>
      <c r="D125" s="16">
        <f>-F125*E125*0.0035</f>
        <v>164.5</v>
      </c>
      <c r="E125" s="14">
        <v>47</v>
      </c>
      <c r="F125" s="14">
        <v>-1000</v>
      </c>
      <c r="G125" s="14"/>
      <c r="H125" s="71">
        <f>Table1[[#This Row],[Result]]/(E126*F126)</f>
        <v>-6.9521912350597612E-2</v>
      </c>
      <c r="I125" s="77">
        <f>DATEDIF(A126,A125,"d")-IF(DATEDIF(A126,A125,"d")+1&gt;=6,ROUNDDOWN(((DATEDIF(A126,A125,"d")+1)/7),0)*2,1)+1</f>
        <v>25</v>
      </c>
      <c r="J125" s="59">
        <f>-Table1[[#This Row],[Price]]*Table1[[#This Row],[Volume]]-E126*F126-Table1[[#This Row],[Commission]]-D126</f>
        <v>-3490</v>
      </c>
      <c r="K125" s="45"/>
      <c r="L125" t="s">
        <v>756</v>
      </c>
      <c r="M125" s="29" t="s">
        <v>771</v>
      </c>
      <c r="N125" s="34" t="s">
        <v>772</v>
      </c>
      <c r="O125" s="34"/>
      <c r="P125" s="31"/>
      <c r="S125" s="2"/>
    </row>
    <row r="126" spans="1:19" x14ac:dyDescent="0.35">
      <c r="A126" s="43">
        <v>44363</v>
      </c>
      <c r="B126" s="14" t="s">
        <v>62</v>
      </c>
      <c r="C126" s="14" t="s">
        <v>677</v>
      </c>
      <c r="D126" s="16">
        <f>F126*E126*0.0025</f>
        <v>125.5</v>
      </c>
      <c r="E126" s="14">
        <f>100.4/2</f>
        <v>50.2</v>
      </c>
      <c r="F126" s="14">
        <v>1000</v>
      </c>
      <c r="G126" s="14"/>
      <c r="H126" s="71"/>
      <c r="I126" s="67"/>
      <c r="J126" s="24">
        <f>(Table1[[#This Row],[Volume]]*Table1[[#This Row],[Price]]+Table1[[#This Row],[Commission]])</f>
        <v>50325.5</v>
      </c>
      <c r="K126" s="45" t="s">
        <v>678</v>
      </c>
      <c r="L126" t="s">
        <v>756</v>
      </c>
      <c r="M126" s="29" t="s">
        <v>766</v>
      </c>
      <c r="N126" s="34" t="s">
        <v>767</v>
      </c>
      <c r="O126" s="34"/>
      <c r="P126" s="31"/>
      <c r="S126" s="2"/>
    </row>
    <row r="127" spans="1:19" x14ac:dyDescent="0.35">
      <c r="A127" s="43">
        <v>44368</v>
      </c>
      <c r="B127" s="14" t="s">
        <v>90</v>
      </c>
      <c r="C127" s="14" t="s">
        <v>677</v>
      </c>
      <c r="D127" s="16">
        <f>-F127*E127*0.0035</f>
        <v>184.625</v>
      </c>
      <c r="E127" s="14">
        <f>(500*53+500*52.5)/1000</f>
        <v>52.75</v>
      </c>
      <c r="F127" s="14">
        <v>-1000</v>
      </c>
      <c r="G127" s="14"/>
      <c r="H127" s="71">
        <f>Table1[[#This Row],[Result]]/(E128*F128)</f>
        <v>4.4619023904382472E-2</v>
      </c>
      <c r="I127" s="77">
        <f>DATEDIF(A128,A127,"d")-IF(DATEDIF(A128,A127,"d")+1&gt;=6,ROUNDDOWN(((DATEDIF(A128,A127,"d")+1)/7),0)*2,1)+1</f>
        <v>6</v>
      </c>
      <c r="J127" s="61">
        <f>-Table1[[#This Row],[Price]]*Table1[[#This Row],[Volume]]-E128*F128-Table1[[#This Row],[Commission]]-D128</f>
        <v>2239.875</v>
      </c>
      <c r="K127" s="45" t="s">
        <v>686</v>
      </c>
      <c r="L127" t="s">
        <v>756</v>
      </c>
      <c r="M127" s="29" t="s">
        <v>763</v>
      </c>
      <c r="N127" s="106" t="s">
        <v>764</v>
      </c>
      <c r="O127" s="34"/>
      <c r="P127" s="31"/>
      <c r="S127" s="2"/>
    </row>
    <row r="128" spans="1:19" x14ac:dyDescent="0.35">
      <c r="A128" s="43">
        <v>44363</v>
      </c>
      <c r="B128" s="14" t="s">
        <v>62</v>
      </c>
      <c r="C128" s="14" t="s">
        <v>677</v>
      </c>
      <c r="D128" s="16">
        <f>F128*E128*0.0025</f>
        <v>125.5</v>
      </c>
      <c r="E128" s="14">
        <f>100.4/2</f>
        <v>50.2</v>
      </c>
      <c r="F128" s="14">
        <v>1000</v>
      </c>
      <c r="G128" s="14"/>
      <c r="H128" s="71"/>
      <c r="I128" s="67"/>
      <c r="J128" s="24">
        <f>(Table1[[#This Row],[Volume]]*Table1[[#This Row],[Price]]+Table1[[#This Row],[Commission]])</f>
        <v>50325.5</v>
      </c>
      <c r="K128" s="45" t="s">
        <v>679</v>
      </c>
      <c r="L128" t="s">
        <v>756</v>
      </c>
      <c r="M128" s="29" t="s">
        <v>759</v>
      </c>
      <c r="N128" s="34" t="s">
        <v>760</v>
      </c>
      <c r="O128" s="34"/>
      <c r="P128" s="31"/>
      <c r="S128" s="2"/>
    </row>
    <row r="129" spans="1:19" x14ac:dyDescent="0.35">
      <c r="A129" s="43">
        <v>44425</v>
      </c>
      <c r="B129" s="14" t="s">
        <v>90</v>
      </c>
      <c r="C129" s="14" t="s">
        <v>330</v>
      </c>
      <c r="D129" s="16">
        <f>-F129*E129*0.0035</f>
        <v>1466.15</v>
      </c>
      <c r="E129" s="14">
        <f>(5*52.4+3*52.3)/8</f>
        <v>52.362499999999997</v>
      </c>
      <c r="F129" s="14">
        <v>-8000</v>
      </c>
      <c r="G129" s="14"/>
      <c r="H129" s="71">
        <f>Table1[[#This Row],[Result]]/(E130*F130)</f>
        <v>0.5077527134587555</v>
      </c>
      <c r="I129" s="77">
        <f>DATEDIF(A130,A129,"d")-IF(DATEDIF(A130,A129,"d")+1&gt;=6,ROUNDDOWN(((DATEDIF(A130,A129,"d")+1)/7),0)*2,1)+1</f>
        <v>50</v>
      </c>
      <c r="J129" s="61">
        <f>-Table1[[#This Row],[Price]]*Table1[[#This Row],[Volume]]-E130*F130-Table1[[#This Row],[Commission]]-D130</f>
        <v>140342.85</v>
      </c>
      <c r="K129" s="45" t="s">
        <v>731</v>
      </c>
      <c r="L129" t="s">
        <v>756</v>
      </c>
      <c r="M129" s="33" t="s">
        <v>754</v>
      </c>
      <c r="N129" s="34" t="s">
        <v>757</v>
      </c>
      <c r="O129" s="34"/>
      <c r="P129" s="31"/>
      <c r="S129" s="2"/>
    </row>
    <row r="130" spans="1:19" x14ac:dyDescent="0.35">
      <c r="A130" s="43">
        <v>44356</v>
      </c>
      <c r="B130" s="14" t="s">
        <v>62</v>
      </c>
      <c r="C130" s="14" t="s">
        <v>330</v>
      </c>
      <c r="D130" s="16">
        <f>F130*E130*0.0025</f>
        <v>691</v>
      </c>
      <c r="E130" s="14">
        <f>(54.6+14.5)/2</f>
        <v>34.549999999999997</v>
      </c>
      <c r="F130" s="14">
        <v>8000</v>
      </c>
      <c r="G130" s="14"/>
      <c r="H130" s="71"/>
      <c r="I130" s="67"/>
      <c r="J130" s="24">
        <f>(Table1[[#This Row],[Volume]]*Table1[[#This Row],[Price]]+Table1[[#This Row],[Commission]])</f>
        <v>277091</v>
      </c>
      <c r="K130" s="45" t="s">
        <v>668</v>
      </c>
      <c r="L130" t="s">
        <v>756</v>
      </c>
      <c r="M130" s="33" t="s">
        <v>751</v>
      </c>
      <c r="N130" s="34" t="s">
        <v>753</v>
      </c>
      <c r="O130" s="34"/>
      <c r="P130" s="31"/>
      <c r="S130" s="2"/>
    </row>
    <row r="131" spans="1:19" x14ac:dyDescent="0.35">
      <c r="A131" s="43">
        <v>44362</v>
      </c>
      <c r="B131" s="14" t="s">
        <v>90</v>
      </c>
      <c r="C131" s="14" t="s">
        <v>330</v>
      </c>
      <c r="D131" s="16">
        <f>-F131*E131*0.0035</f>
        <v>1229.2</v>
      </c>
      <c r="E131" s="14">
        <f>(4000*43.1+4000*44.7)/8000</f>
        <v>43.9</v>
      </c>
      <c r="F131" s="14">
        <v>-8000</v>
      </c>
      <c r="G131" s="14"/>
      <c r="H131" s="71">
        <f>Table1[[#This Row],[Result]]/(E132*F132)</f>
        <v>0.26240882778581764</v>
      </c>
      <c r="I131" s="77">
        <f>DATEDIF(A132,A131,"d")-IF(DATEDIF(A132,A131,"d")+1&gt;=6,ROUNDDOWN(((DATEDIF(A132,A131,"d")+1)/7),0)*2,1)+1</f>
        <v>5</v>
      </c>
      <c r="J131" s="61">
        <f>-Table1[[#This Row],[Price]]*Table1[[#This Row],[Volume]]-E132*F132-Table1[[#This Row],[Commission]]-D132+I132</f>
        <v>72529.8</v>
      </c>
      <c r="K131" s="45" t="s">
        <v>672</v>
      </c>
      <c r="L131" t="s">
        <v>756</v>
      </c>
      <c r="M131" s="33" t="s">
        <v>750</v>
      </c>
      <c r="N131" s="34" t="s">
        <v>752</v>
      </c>
      <c r="O131" s="34"/>
      <c r="P131" s="31"/>
      <c r="S131" s="2">
        <f>ROUNDDOWN(39.6*1.1,1)</f>
        <v>43.5</v>
      </c>
    </row>
    <row r="132" spans="1:19" x14ac:dyDescent="0.35">
      <c r="A132" s="43">
        <v>44356</v>
      </c>
      <c r="B132" s="14" t="s">
        <v>62</v>
      </c>
      <c r="C132" s="14" t="s">
        <v>330</v>
      </c>
      <c r="D132" s="16">
        <f>F132*E132*0.0025</f>
        <v>691</v>
      </c>
      <c r="E132" s="14">
        <f>(54.6+14.5)/2</f>
        <v>34.549999999999997</v>
      </c>
      <c r="F132" s="14">
        <v>8000</v>
      </c>
      <c r="G132" s="14"/>
      <c r="H132" s="71"/>
      <c r="I132" s="67">
        <f>-280-70</f>
        <v>-350</v>
      </c>
      <c r="J132" s="24">
        <f>(Table1[[#This Row],[Volume]]*Table1[[#This Row],[Price]]+Table1[[#This Row],[Commission]])</f>
        <v>277091</v>
      </c>
      <c r="K132" s="45" t="s">
        <v>667</v>
      </c>
      <c r="L132" t="s">
        <v>756</v>
      </c>
      <c r="M132" s="33" t="s">
        <v>748</v>
      </c>
      <c r="N132" s="34" t="s">
        <v>749</v>
      </c>
      <c r="O132" s="34"/>
      <c r="P132" s="31"/>
      <c r="S132" s="2"/>
    </row>
    <row r="133" spans="1:19" x14ac:dyDescent="0.35">
      <c r="A133" s="43">
        <v>44349</v>
      </c>
      <c r="B133" s="14" t="s">
        <v>90</v>
      </c>
      <c r="C133" s="14" t="s">
        <v>657</v>
      </c>
      <c r="D133" s="16">
        <f>173.33+90+221.583+500+320</f>
        <v>1304.913</v>
      </c>
      <c r="E133" s="14">
        <v>1484</v>
      </c>
      <c r="F133" s="14">
        <v>-5</v>
      </c>
      <c r="G133" s="14"/>
      <c r="H133" s="71">
        <f>ROUNDUP(Table1[[#This Row],[Result]]/258480,2)</f>
        <v>0.04</v>
      </c>
      <c r="I133" s="77">
        <f>DATEDIF(A134,A133,"d")-IF(DATEDIF(A134,A133,"d")+1&gt;=6,ROUNDDOWN(((DATEDIF(A134,A133,"d")+1)/7),0)*2,1)+1</f>
        <v>0</v>
      </c>
      <c r="J133" s="61">
        <f>-12379+21500</f>
        <v>9121</v>
      </c>
      <c r="K133" s="45" t="s">
        <v>658</v>
      </c>
      <c r="L133" t="s">
        <v>756</v>
      </c>
      <c r="M133" s="33" t="s">
        <v>745</v>
      </c>
      <c r="N133" s="34" t="s">
        <v>746</v>
      </c>
      <c r="O133" s="34"/>
      <c r="P133" s="31"/>
      <c r="S133" s="2"/>
    </row>
    <row r="134" spans="1:19" x14ac:dyDescent="0.35">
      <c r="A134" s="43">
        <v>44349</v>
      </c>
      <c r="B134" s="14" t="s">
        <v>62</v>
      </c>
      <c r="C134" s="14" t="s">
        <v>657</v>
      </c>
      <c r="D134" s="16"/>
      <c r="E134" s="14">
        <v>1480</v>
      </c>
      <c r="F134" s="14">
        <v>5</v>
      </c>
      <c r="G134" s="14"/>
      <c r="H134" s="71"/>
      <c r="I134" s="67"/>
      <c r="J134" s="24">
        <f>742000/1000</f>
        <v>742</v>
      </c>
      <c r="K134" s="96" t="s">
        <v>961</v>
      </c>
      <c r="L134" t="s">
        <v>756</v>
      </c>
      <c r="M134" s="33" t="s">
        <v>742</v>
      </c>
      <c r="N134" s="34" t="s">
        <v>743</v>
      </c>
      <c r="O134" s="34"/>
      <c r="P134" s="31"/>
      <c r="S134" s="2"/>
    </row>
    <row r="135" spans="1:19" x14ac:dyDescent="0.35">
      <c r="A135" s="43">
        <v>44347</v>
      </c>
      <c r="B135" s="14" t="s">
        <v>90</v>
      </c>
      <c r="C135" s="14" t="s">
        <v>616</v>
      </c>
      <c r="D135" s="16">
        <f>-F135*E135*0.0035</f>
        <v>1694.7</v>
      </c>
      <c r="E135" s="14">
        <v>26.9</v>
      </c>
      <c r="F135" s="14">
        <f>-9100-5900-1000-0-1000-1000</f>
        <v>-18000</v>
      </c>
      <c r="G135" s="14">
        <f>6000</f>
        <v>6000</v>
      </c>
      <c r="H135" s="71">
        <f>Table1[[#This Row],[Result]]/(E136*F136)</f>
        <v>2.9303098732906788E-3</v>
      </c>
      <c r="I135" s="69">
        <f>DATEDIF(A136,A135,"d")-IF(DATEDIF(A136,A135,"d")&gt;7,ROUNDDOWN((DATEDIF(A136,A135,"d")/7),0)*2,1)+1</f>
        <v>25</v>
      </c>
      <c r="J135" s="61">
        <f>-Table1[[#This Row],[Price]]*Table1[[#This Row],[Volume]]-E136*F136-Table1[[#This Row],[Commission]]-D136-I136</f>
        <v>1401.45</v>
      </c>
      <c r="K135" s="45" t="s">
        <v>649</v>
      </c>
      <c r="L135" t="s">
        <v>756</v>
      </c>
      <c r="M135" s="33" t="s">
        <v>740</v>
      </c>
      <c r="N135" s="34" t="s">
        <v>741</v>
      </c>
      <c r="O135" s="34"/>
      <c r="P135" s="31"/>
      <c r="S135" s="2"/>
    </row>
    <row r="136" spans="1:19" x14ac:dyDescent="0.35">
      <c r="A136" s="43">
        <v>44315</v>
      </c>
      <c r="B136" s="14" t="s">
        <v>62</v>
      </c>
      <c r="C136" s="14" t="s">
        <v>616</v>
      </c>
      <c r="D136" s="16">
        <f>F136*E136*0.0025</f>
        <v>1195.6500000000001</v>
      </c>
      <c r="E136" s="14">
        <f>ROUNDUP((26.8*9100+5900*26.9+1000*25.65+1000*25.15+1000*24.85+0*12)/(16000+0+1000+1000),2)</f>
        <v>26.57</v>
      </c>
      <c r="F136" s="14">
        <f>9100+5900+1000+0+1000+1000</f>
        <v>18000</v>
      </c>
      <c r="G136" s="14"/>
      <c r="H136" s="71"/>
      <c r="I136" s="100">
        <f>1405+74.2*1+169</f>
        <v>1648.2</v>
      </c>
      <c r="J136" s="24">
        <f>(Table1[[#This Row],[Volume]]*Table1[[#This Row],[Price]]+Table1[[#This Row],[Commission]])</f>
        <v>479455.65</v>
      </c>
      <c r="K136" s="95" t="s">
        <v>623</v>
      </c>
      <c r="L136" t="s">
        <v>756</v>
      </c>
      <c r="M136" s="33" t="s">
        <v>738</v>
      </c>
      <c r="N136" s="34" t="s">
        <v>739</v>
      </c>
      <c r="O136" s="34"/>
      <c r="P136" s="31"/>
      <c r="S136" s="2"/>
    </row>
    <row r="137" spans="1:19" x14ac:dyDescent="0.35">
      <c r="A137" s="43">
        <v>44312</v>
      </c>
      <c r="B137" s="14" t="s">
        <v>90</v>
      </c>
      <c r="C137" s="14" t="s">
        <v>401</v>
      </c>
      <c r="D137" s="16">
        <f>-F137*E137*0.0035</f>
        <v>839.30000000000007</v>
      </c>
      <c r="E137" s="14">
        <v>22</v>
      </c>
      <c r="F137" s="14">
        <v>-10900</v>
      </c>
      <c r="G137" s="14"/>
      <c r="H137" s="71">
        <f>Table1[[#This Row],[Result]]/(E138*F138)</f>
        <v>-0.15605212355212356</v>
      </c>
      <c r="I137" s="77">
        <f>DATEDIF(A138,A137,"d")-IF(DATEDIF(A138,A137,"d")+1&gt;=6,ROUNDDOWN(((DATEDIF(A138,A137,"d")+1)/7),0)*2,1)+1</f>
        <v>30</v>
      </c>
      <c r="J137" s="59">
        <f>-Table1[[#This Row],[Price]]*Table1[[#This Row],[Volume]]-E138*F138-Table1[[#This Row],[Commission]]-D138</f>
        <v>-44055.075000000004</v>
      </c>
      <c r="K137" s="45" t="s">
        <v>442</v>
      </c>
      <c r="L137" t="s">
        <v>756</v>
      </c>
      <c r="M137" s="33" t="s">
        <v>736</v>
      </c>
      <c r="N137" s="34" t="s">
        <v>737</v>
      </c>
      <c r="O137" s="34"/>
      <c r="P137" s="31"/>
      <c r="S137" s="2"/>
    </row>
    <row r="138" spans="1:19" x14ac:dyDescent="0.35">
      <c r="A138" s="43">
        <v>44271</v>
      </c>
      <c r="B138" s="14" t="s">
        <v>62</v>
      </c>
      <c r="C138" s="14" t="s">
        <v>401</v>
      </c>
      <c r="D138" s="16">
        <f>F138*E138*0.0025</f>
        <v>705.77499999999998</v>
      </c>
      <c r="E138" s="14">
        <v>25.9</v>
      </c>
      <c r="F138" s="14">
        <v>10900</v>
      </c>
      <c r="G138" s="14"/>
      <c r="H138" s="71"/>
      <c r="I138" s="67"/>
      <c r="J138" s="24">
        <f>(Table1[[#This Row],[Volume]]*Table1[[#This Row],[Price]]+Table1[[#This Row],[Commission]])</f>
        <v>283015.77500000002</v>
      </c>
      <c r="K138" s="45" t="s">
        <v>405</v>
      </c>
      <c r="L138" t="s">
        <v>756</v>
      </c>
      <c r="M138" s="33" t="s">
        <v>732</v>
      </c>
      <c r="N138" s="34" t="s">
        <v>733</v>
      </c>
      <c r="O138" s="34"/>
      <c r="P138" s="31"/>
      <c r="S138" s="2"/>
    </row>
    <row r="139" spans="1:19" x14ac:dyDescent="0.35">
      <c r="A139" s="43">
        <v>44266</v>
      </c>
      <c r="B139" s="14" t="s">
        <v>226</v>
      </c>
      <c r="C139" s="14"/>
      <c r="D139" s="16"/>
      <c r="E139" s="14"/>
      <c r="F139" s="14"/>
      <c r="G139" s="14" t="s">
        <v>412</v>
      </c>
      <c r="H139" s="71"/>
      <c r="I139" s="67"/>
      <c r="J139" s="24"/>
      <c r="K139" s="45" t="s">
        <v>413</v>
      </c>
      <c r="L139" t="s">
        <v>756</v>
      </c>
      <c r="M139" s="33" t="s">
        <v>728</v>
      </c>
      <c r="N139" s="34" t="s">
        <v>729</v>
      </c>
      <c r="O139" s="34"/>
      <c r="P139" s="31"/>
      <c r="S139" s="2"/>
    </row>
    <row r="140" spans="1:19" x14ac:dyDescent="0.35">
      <c r="A140" s="43">
        <v>44270</v>
      </c>
      <c r="B140" s="14" t="s">
        <v>90</v>
      </c>
      <c r="C140" s="14" t="s">
        <v>330</v>
      </c>
      <c r="D140" s="16">
        <f>-F140*E140*0.0035</f>
        <v>992.69799999999998</v>
      </c>
      <c r="E140" s="14">
        <f>ROUNDDOWN(((0.47*29.3)+(0.5*29.2))/0.97,2)</f>
        <v>29.24</v>
      </c>
      <c r="F140" s="14">
        <v>-9700</v>
      </c>
      <c r="G140" s="14">
        <f>7000</f>
        <v>7000</v>
      </c>
      <c r="H140" s="71">
        <f>Table1[[#This Row],[Result]]/(E141*F141)</f>
        <v>2.8556617126680818E-2</v>
      </c>
      <c r="I140" s="69">
        <f>DATEDIF(A141,A140,"d")-IF(DATEDIF(A141,A140,"d")&gt;7,ROUNDDOWN((DATEDIF(A141,A140,"d")/7),0)*2,1)+1</f>
        <v>9</v>
      </c>
      <c r="J140" s="61">
        <f>-Table1[[#This Row],[Price]]*Table1[[#This Row],[Volume]]-E141*F141-Table1[[#This Row],[Commission]]-D141</f>
        <v>7827.9969999999994</v>
      </c>
      <c r="K140" s="45" t="s">
        <v>400</v>
      </c>
      <c r="L140" t="s">
        <v>756</v>
      </c>
      <c r="M140" s="33" t="s">
        <v>726</v>
      </c>
      <c r="N140" s="34" t="s">
        <v>727</v>
      </c>
      <c r="O140" s="34"/>
      <c r="P140" s="31"/>
      <c r="S140" s="2"/>
    </row>
    <row r="141" spans="1:19" x14ac:dyDescent="0.35">
      <c r="A141" s="43">
        <v>44260</v>
      </c>
      <c r="B141" s="14" t="s">
        <v>62</v>
      </c>
      <c r="C141" s="14" t="s">
        <v>330</v>
      </c>
      <c r="D141" s="16">
        <f>F141*E141*0.0025</f>
        <v>685.30500000000006</v>
      </c>
      <c r="E141" s="14">
        <f>ROUNDUP(((27.2+27.45+7.7*28.5)/9.7),2)</f>
        <v>28.26</v>
      </c>
      <c r="F141" s="14">
        <v>9700</v>
      </c>
      <c r="G141" s="14"/>
      <c r="H141" s="71"/>
      <c r="I141" s="67"/>
      <c r="J141" s="24">
        <f>(Table1[[#This Row],[Volume]]*Table1[[#This Row],[Price]]+Table1[[#This Row],[Commission]])</f>
        <v>274807.30499999999</v>
      </c>
      <c r="K141" s="45" t="s">
        <v>392</v>
      </c>
      <c r="L141" t="s">
        <v>756</v>
      </c>
      <c r="M141" s="32" t="s">
        <v>721</v>
      </c>
      <c r="N141" s="34" t="s">
        <v>722</v>
      </c>
      <c r="O141" s="34"/>
      <c r="P141" s="31"/>
      <c r="S141" s="2"/>
    </row>
    <row r="142" spans="1:19" x14ac:dyDescent="0.35">
      <c r="A142" s="43">
        <v>44256</v>
      </c>
      <c r="B142" s="14"/>
      <c r="C142" s="14"/>
      <c r="D142" s="16"/>
      <c r="E142" s="14"/>
      <c r="F142" s="14"/>
      <c r="G142" s="63">
        <v>-7500</v>
      </c>
      <c r="H142" s="71"/>
      <c r="I142" s="67"/>
      <c r="J142" s="24"/>
      <c r="K142" s="45" t="s">
        <v>382</v>
      </c>
      <c r="L142" t="s">
        <v>756</v>
      </c>
      <c r="M142" s="32" t="s">
        <v>719</v>
      </c>
      <c r="N142" s="104" t="s">
        <v>720</v>
      </c>
      <c r="O142" s="34"/>
      <c r="P142" s="31"/>
      <c r="S142" s="2"/>
    </row>
    <row r="143" spans="1:19" x14ac:dyDescent="0.35">
      <c r="A143" s="43">
        <v>44257</v>
      </c>
      <c r="B143" s="14" t="s">
        <v>90</v>
      </c>
      <c r="C143" s="14" t="s">
        <v>207</v>
      </c>
      <c r="D143" s="16">
        <f>-F143*E143*0.0035</f>
        <v>65.625</v>
      </c>
      <c r="E143" s="14">
        <v>18.75</v>
      </c>
      <c r="F143" s="14">
        <v>-1000</v>
      </c>
      <c r="G143" s="14"/>
      <c r="H143" s="71">
        <f>Table1[[#This Row],[Result]]/(E144*F144)</f>
        <v>5.6104815864022661E-2</v>
      </c>
      <c r="I143" s="69">
        <f>DATEDIF(A144,A143,"d")-IF(DATEDIF(A144,A143,"d")&gt;7,ROUNDDOWN((DATEDIF(A144,A143,"d")/7),0)*2,1)+1</f>
        <v>5</v>
      </c>
      <c r="J143" s="61">
        <f>-Table1[[#This Row],[Price]]*Table1[[#This Row],[Volume]]-E144*F144-Table1[[#This Row],[Commission]]-D144</f>
        <v>990.25</v>
      </c>
      <c r="K143" s="45"/>
      <c r="L143" t="s">
        <v>756</v>
      </c>
      <c r="M143" s="32" t="s">
        <v>714</v>
      </c>
      <c r="N143" s="34" t="s">
        <v>715</v>
      </c>
      <c r="O143" s="34"/>
      <c r="P143" s="31"/>
      <c r="S143" s="2"/>
    </row>
    <row r="144" spans="1:19" x14ac:dyDescent="0.35">
      <c r="A144" s="43">
        <v>44252</v>
      </c>
      <c r="B144" s="14" t="s">
        <v>62</v>
      </c>
      <c r="C144" s="14" t="s">
        <v>207</v>
      </c>
      <c r="D144" s="16">
        <f>F144*E144*0.0025</f>
        <v>44.125</v>
      </c>
      <c r="E144" s="14">
        <v>17.649999999999999</v>
      </c>
      <c r="F144" s="14">
        <v>1000</v>
      </c>
      <c r="G144" s="14"/>
      <c r="H144" s="71"/>
      <c r="I144" s="67"/>
      <c r="J144" s="24">
        <f>(Table1[[#This Row],[Volume]]*Table1[[#This Row],[Price]]+Table1[[#This Row],[Commission]])</f>
        <v>17694.125</v>
      </c>
      <c r="K144" s="45" t="s">
        <v>377</v>
      </c>
      <c r="L144" t="s">
        <v>756</v>
      </c>
      <c r="M144" s="32" t="s">
        <v>710</v>
      </c>
      <c r="N144" s="34" t="s">
        <v>712</v>
      </c>
      <c r="O144" s="34"/>
      <c r="P144" s="31"/>
      <c r="S144" s="2"/>
    </row>
    <row r="145" spans="1:19" x14ac:dyDescent="0.35">
      <c r="A145" s="43">
        <v>44257</v>
      </c>
      <c r="B145" s="14" t="s">
        <v>90</v>
      </c>
      <c r="C145" s="14" t="s">
        <v>330</v>
      </c>
      <c r="D145" s="16">
        <f>-F145*E145*0.0035</f>
        <v>206.67500000000001</v>
      </c>
      <c r="E145" s="14">
        <f>(29.25+29.8)/2</f>
        <v>29.524999999999999</v>
      </c>
      <c r="F145" s="14">
        <v>-2000</v>
      </c>
      <c r="G145" s="14"/>
      <c r="H145" s="71">
        <f>Table1[[#This Row],[Result]]/(E146*F146)</f>
        <v>4.827366071428571E-2</v>
      </c>
      <c r="I145" s="69">
        <f>DATEDIF(A146,A145,"d")-IF(DATEDIF(A146,A145,"d")&gt;7,ROUNDDOWN((DATEDIF(A146,A145,"d")/7),0)*2,1)+1</f>
        <v>5</v>
      </c>
      <c r="J145" s="61">
        <f>-Table1[[#This Row],[Price]]*Table1[[#This Row],[Volume]]-E146*F146-Table1[[#This Row],[Commission]]-D146</f>
        <v>2703.3249999999998</v>
      </c>
      <c r="K145" s="45" t="s">
        <v>374</v>
      </c>
      <c r="L145" t="s">
        <v>756</v>
      </c>
      <c r="M145" s="32" t="s">
        <v>708</v>
      </c>
      <c r="N145" s="34" t="s">
        <v>709</v>
      </c>
      <c r="O145" s="34"/>
      <c r="P145" s="31"/>
      <c r="S145" s="2"/>
    </row>
    <row r="146" spans="1:19" x14ac:dyDescent="0.35">
      <c r="A146" s="43">
        <v>44252</v>
      </c>
      <c r="B146" s="14" t="s">
        <v>62</v>
      </c>
      <c r="C146" s="14" t="s">
        <v>330</v>
      </c>
      <c r="D146" s="16">
        <f>F146*E146*0.0025</f>
        <v>140</v>
      </c>
      <c r="E146" s="14">
        <v>28</v>
      </c>
      <c r="F146" s="14">
        <v>2000</v>
      </c>
      <c r="G146" s="14"/>
      <c r="H146" s="71"/>
      <c r="I146" s="67"/>
      <c r="J146" s="24">
        <f>Table1[[#This Row],[Volume]]*Table1[[#This Row],[Price]]+Table1[[#This Row],[Commission]]</f>
        <v>56140</v>
      </c>
      <c r="K146" s="45"/>
      <c r="L146" t="s">
        <v>756</v>
      </c>
      <c r="M146" s="32" t="s">
        <v>703</v>
      </c>
      <c r="N146" s="34" t="s">
        <v>704</v>
      </c>
      <c r="O146" s="34"/>
      <c r="P146" s="31"/>
      <c r="S146" s="2"/>
    </row>
    <row r="147" spans="1:19" x14ac:dyDescent="0.35">
      <c r="A147" s="43">
        <v>44257</v>
      </c>
      <c r="B147" s="14" t="s">
        <v>90</v>
      </c>
      <c r="C147" s="14" t="s">
        <v>367</v>
      </c>
      <c r="D147" s="16">
        <f>-F147*E147*0.0035</f>
        <v>199.5</v>
      </c>
      <c r="E147" s="14">
        <f>(28.55+28.45)/2</f>
        <v>28.5</v>
      </c>
      <c r="F147" s="14">
        <v>-2000</v>
      </c>
      <c r="G147" s="14"/>
      <c r="H147" s="71">
        <f>Table1[[#This Row],[Result]]/(E148*F148)</f>
        <v>3.7802197802197804E-2</v>
      </c>
      <c r="I147" s="69">
        <f>DATEDIF(A148,A147,"d")-IF(DATEDIF(A148,A147,"d")&gt;7,ROUNDDOWN((DATEDIF(A148,A147,"d")/7),0)*2,1)+1</f>
        <v>5</v>
      </c>
      <c r="J147" s="61">
        <f>-Table1[[#This Row],[Price]]*Table1[[#This Row],[Volume]]-E148*F148-Table1[[#This Row],[Commission]]-D148</f>
        <v>2064</v>
      </c>
      <c r="K147" s="45"/>
      <c r="L147" t="s">
        <v>756</v>
      </c>
      <c r="M147" s="32" t="s">
        <v>701</v>
      </c>
      <c r="N147" s="34" t="s">
        <v>702</v>
      </c>
      <c r="O147" s="34"/>
      <c r="P147" s="31"/>
      <c r="S147" s="2"/>
    </row>
    <row r="148" spans="1:19" x14ac:dyDescent="0.35">
      <c r="A148" s="43">
        <v>44252</v>
      </c>
      <c r="B148" s="14" t="s">
        <v>62</v>
      </c>
      <c r="C148" s="14" t="s">
        <v>367</v>
      </c>
      <c r="D148" s="16">
        <f>F148*E148*0.0025</f>
        <v>136.5</v>
      </c>
      <c r="E148" s="14">
        <v>27.3</v>
      </c>
      <c r="F148" s="14">
        <v>2000</v>
      </c>
      <c r="G148" s="14"/>
      <c r="H148" s="71"/>
      <c r="I148" s="67"/>
      <c r="J148" s="24">
        <f>Table1[[#This Row],[Volume]]*Table1[[#This Row],[Price]]+Table1[[#This Row],[Commission]]</f>
        <v>54736.5</v>
      </c>
      <c r="K148" s="45" t="s">
        <v>372</v>
      </c>
      <c r="L148" t="s">
        <v>756</v>
      </c>
      <c r="M148" s="32" t="s">
        <v>698</v>
      </c>
      <c r="N148" s="34" t="s">
        <v>699</v>
      </c>
      <c r="O148" s="34"/>
      <c r="P148" s="31"/>
      <c r="S148" s="2"/>
    </row>
    <row r="149" spans="1:19" x14ac:dyDescent="0.35">
      <c r="A149" s="43">
        <v>44245</v>
      </c>
      <c r="B149" s="14" t="s">
        <v>90</v>
      </c>
      <c r="C149" s="14" t="s">
        <v>361</v>
      </c>
      <c r="D149" s="16">
        <f>-F149*E149*0.0035</f>
        <v>945</v>
      </c>
      <c r="E149" s="14">
        <v>60</v>
      </c>
      <c r="F149" s="14">
        <v>-4500</v>
      </c>
      <c r="G149" s="14"/>
      <c r="H149" s="71">
        <f>Table1[[#This Row],[Result]]/(E150*F150)</f>
        <v>3.5520833333333335E-2</v>
      </c>
      <c r="I149" s="69">
        <f>DATEDIF(A150,A149,"d")-IF(DATEDIF(A150,A149,"d")&gt;7,ROUNDDOWN((DATEDIF(A150,A149,"d")/7),0)*2,1)+1</f>
        <v>9</v>
      </c>
      <c r="J149" s="61">
        <f>-Table1[[#This Row],[Price]]*Table1[[#This Row],[Volume]]-E150*F150-Table1[[#This Row],[Commission]]-D150</f>
        <v>9207</v>
      </c>
      <c r="K149" s="45" t="s">
        <v>366</v>
      </c>
      <c r="L149" t="s">
        <v>756</v>
      </c>
      <c r="M149" s="32" t="s">
        <v>696</v>
      </c>
      <c r="N149" s="34" t="s">
        <v>697</v>
      </c>
      <c r="O149" s="34"/>
      <c r="P149" s="31"/>
      <c r="S149" s="2" t="s">
        <v>298</v>
      </c>
    </row>
    <row r="150" spans="1:19" x14ac:dyDescent="0.35">
      <c r="A150" s="43">
        <v>44235</v>
      </c>
      <c r="B150" s="14" t="s">
        <v>62</v>
      </c>
      <c r="C150" s="14" t="s">
        <v>361</v>
      </c>
      <c r="D150" s="16">
        <f>F150*E150*0.0025</f>
        <v>648</v>
      </c>
      <c r="E150" s="14">
        <v>57.6</v>
      </c>
      <c r="F150" s="14">
        <v>4500</v>
      </c>
      <c r="G150" s="14">
        <v>20000</v>
      </c>
      <c r="H150" s="71"/>
      <c r="I150" s="67"/>
      <c r="J150" s="24"/>
      <c r="K150" s="45" t="s">
        <v>362</v>
      </c>
      <c r="L150" t="s">
        <v>756</v>
      </c>
      <c r="M150" s="32" t="s">
        <v>694</v>
      </c>
      <c r="N150" s="34" t="s">
        <v>695</v>
      </c>
      <c r="O150" s="34"/>
      <c r="P150" s="31"/>
      <c r="S150" s="2"/>
    </row>
    <row r="151" spans="1:19" x14ac:dyDescent="0.35">
      <c r="A151" s="43">
        <v>44232</v>
      </c>
      <c r="B151" s="14" t="s">
        <v>90</v>
      </c>
      <c r="C151" s="14" t="s">
        <v>92</v>
      </c>
      <c r="D151" s="16">
        <f>-F151*E151*0.0035</f>
        <v>410.55</v>
      </c>
      <c r="E151" s="14">
        <v>25.5</v>
      </c>
      <c r="F151" s="14">
        <v>-4600</v>
      </c>
      <c r="G151" s="14"/>
      <c r="H151" s="71">
        <f>Table1[[#This Row],[Result]]/(E152*F152)</f>
        <v>3.0457317073170731E-2</v>
      </c>
      <c r="I151" s="69">
        <f>DATEDIF(A152,A151,"d")-IF(DATEDIF(A152,A151,"d")&gt;7,ROUNDDOWN((DATEDIF(A152,A151,"d")/7),0)*2,1)+1</f>
        <v>3</v>
      </c>
      <c r="J151" s="61">
        <f>-Table1[[#This Row],[Price]]*Table1[[#This Row],[Volume]]-E152*F152-Table1[[#This Row],[Commission]]-D152</f>
        <v>3446.5499999999997</v>
      </c>
      <c r="K151" s="45" t="s">
        <v>360</v>
      </c>
      <c r="L151" t="s">
        <v>756</v>
      </c>
      <c r="M151" s="32" t="s">
        <v>689</v>
      </c>
      <c r="N151" s="34" t="s">
        <v>691</v>
      </c>
      <c r="O151" s="34"/>
      <c r="P151" s="31"/>
      <c r="S151" s="2"/>
    </row>
    <row r="152" spans="1:19" x14ac:dyDescent="0.35">
      <c r="A152" s="43">
        <v>44229</v>
      </c>
      <c r="B152" s="14" t="s">
        <v>62</v>
      </c>
      <c r="C152" s="14" t="s">
        <v>92</v>
      </c>
      <c r="D152" s="16">
        <f>F152*E152*0.0025</f>
        <v>282.90000000000003</v>
      </c>
      <c r="E152" s="14">
        <v>24.6</v>
      </c>
      <c r="F152" s="14">
        <v>4600</v>
      </c>
      <c r="G152" s="14"/>
      <c r="H152" s="71"/>
      <c r="I152" s="67"/>
      <c r="J152" s="24"/>
      <c r="K152" s="45"/>
      <c r="L152" t="s">
        <v>756</v>
      </c>
      <c r="M152" s="32" t="s">
        <v>687</v>
      </c>
      <c r="N152" s="34" t="s">
        <v>688</v>
      </c>
      <c r="O152" s="34"/>
      <c r="P152" s="31"/>
      <c r="S152" s="2"/>
    </row>
    <row r="153" spans="1:19" x14ac:dyDescent="0.35">
      <c r="A153" s="43">
        <v>44232</v>
      </c>
      <c r="B153" s="14" t="s">
        <v>90</v>
      </c>
      <c r="C153" s="14" t="s">
        <v>92</v>
      </c>
      <c r="D153" s="16">
        <f>-F153*E153*0.0035</f>
        <v>448.875</v>
      </c>
      <c r="E153" s="14">
        <v>25.65</v>
      </c>
      <c r="F153" s="14">
        <v>-5000</v>
      </c>
      <c r="G153" s="14"/>
      <c r="H153" s="71">
        <f>Table1[[#This Row],[Result]]/(E154*F154)</f>
        <v>3.6533536585365851E-2</v>
      </c>
      <c r="I153" s="69">
        <f>DATEDIF(A154,A153,"d")-IF(DATEDIF(A154,A153,"d")&gt;7,ROUNDDOWN((DATEDIF(A154,A153,"d")/7),0)*2,1)+1</f>
        <v>3</v>
      </c>
      <c r="J153" s="61">
        <f>-Table1[[#This Row],[Price]]*Table1[[#This Row],[Volume]]-E154*F154-Table1[[#This Row],[Commission]]-D154</f>
        <v>4493.625</v>
      </c>
      <c r="K153" s="45" t="s">
        <v>359</v>
      </c>
      <c r="L153" t="s">
        <v>756</v>
      </c>
      <c r="M153" s="32" t="s">
        <v>683</v>
      </c>
      <c r="N153" s="34" t="s">
        <v>684</v>
      </c>
      <c r="O153" s="34"/>
      <c r="P153" s="31"/>
      <c r="S153" s="2"/>
    </row>
    <row r="154" spans="1:19" x14ac:dyDescent="0.35">
      <c r="A154" s="43">
        <v>44229</v>
      </c>
      <c r="B154" s="14" t="s">
        <v>62</v>
      </c>
      <c r="C154" s="14" t="s">
        <v>92</v>
      </c>
      <c r="D154" s="16">
        <f>F154*E154*0.0025</f>
        <v>307.5</v>
      </c>
      <c r="E154" s="14">
        <v>24.6</v>
      </c>
      <c r="F154" s="14">
        <v>5000</v>
      </c>
      <c r="G154" s="14"/>
      <c r="H154" s="71"/>
      <c r="I154" s="67"/>
      <c r="J154" s="24"/>
      <c r="K154" s="45" t="s">
        <v>356</v>
      </c>
      <c r="L154" t="s">
        <v>756</v>
      </c>
      <c r="M154" s="32" t="s">
        <v>681</v>
      </c>
      <c r="N154" s="34" t="s">
        <v>682</v>
      </c>
      <c r="O154" s="34"/>
      <c r="P154" s="31"/>
      <c r="S154" s="2"/>
    </row>
    <row r="155" spans="1:19" x14ac:dyDescent="0.35">
      <c r="A155" s="43">
        <v>44225</v>
      </c>
      <c r="B155" s="14" t="s">
        <v>90</v>
      </c>
      <c r="C155" s="14" t="s">
        <v>199</v>
      </c>
      <c r="D155" s="16">
        <f>-F155*E155*0.0035</f>
        <v>4.2839999999999998</v>
      </c>
      <c r="E155" s="14">
        <v>6.12</v>
      </c>
      <c r="F155" s="14">
        <v>-200</v>
      </c>
      <c r="G155" s="14"/>
      <c r="H155" s="71">
        <f>J155/(200*8.41)</f>
        <v>-0.28197621878715828</v>
      </c>
      <c r="I155" s="69">
        <f>DATEDIF(A167,A155,"d")-IF(DATEDIF(A167,A155,"d")&gt;7,ROUNDDOWN((DATEDIF(A167,A155,"d")/7),0)*2,1)+1</f>
        <v>12</v>
      </c>
      <c r="J155" s="59">
        <f>-Table1[[#This Row],[Volume]]*Table1[[#This Row],[Price]]-(200*8.47)-Table1[[#This Row],[Commission]]</f>
        <v>-474.28400000000022</v>
      </c>
      <c r="K155" s="45" t="s">
        <v>337</v>
      </c>
      <c r="L155" t="s">
        <v>756</v>
      </c>
      <c r="M155" s="32" t="s">
        <v>676</v>
      </c>
      <c r="N155" s="34" t="s">
        <v>680</v>
      </c>
      <c r="O155" s="34"/>
      <c r="P155" s="102"/>
      <c r="Q155">
        <f>318000-173000</f>
        <v>145000</v>
      </c>
      <c r="S155" s="2"/>
    </row>
    <row r="156" spans="1:19" x14ac:dyDescent="0.35">
      <c r="A156" s="43">
        <v>44228</v>
      </c>
      <c r="B156" s="14" t="s">
        <v>90</v>
      </c>
      <c r="C156" s="14" t="s">
        <v>311</v>
      </c>
      <c r="D156" s="16">
        <f>-F156*E156*0.0035</f>
        <v>5.992</v>
      </c>
      <c r="E156" s="14">
        <v>8.56</v>
      </c>
      <c r="F156" s="14">
        <v>-200</v>
      </c>
      <c r="G156" s="14"/>
      <c r="H156" s="71">
        <f>Table1[[#This Row],[Result]]/(E157*F157)</f>
        <v>-0.11395416666666666</v>
      </c>
      <c r="I156" s="69">
        <f>DATEDIF(A157,A156,"d")-IF(DATEDIF(A157,A156,"d")&gt;7,ROUNDDOWN((DATEDIF(A157,A156,"d")/7),0)*2,1)+1</f>
        <v>5</v>
      </c>
      <c r="J156" s="59">
        <f>-Table1[[#This Row],[Price]]*Table1[[#This Row],[Volume]]-E157*F157-Table1[[#This Row],[Commission]]-D157</f>
        <v>-218.792</v>
      </c>
      <c r="K156" s="45"/>
      <c r="L156" t="s">
        <v>756</v>
      </c>
      <c r="M156" s="32" t="s">
        <v>674</v>
      </c>
      <c r="N156" s="34" t="s">
        <v>675</v>
      </c>
      <c r="O156" s="34"/>
      <c r="P156" s="31"/>
      <c r="Q156">
        <f>(O158+P158)*1.006</f>
        <v>239629.2</v>
      </c>
      <c r="R156">
        <f>Q156/8000</f>
        <v>29.953650000000003</v>
      </c>
      <c r="S156" s="2"/>
    </row>
    <row r="157" spans="1:19" x14ac:dyDescent="0.35">
      <c r="A157" s="43">
        <v>44223</v>
      </c>
      <c r="B157" s="14" t="s">
        <v>62</v>
      </c>
      <c r="C157" s="14" t="s">
        <v>311</v>
      </c>
      <c r="D157" s="16">
        <f>F157*E157*0.0025</f>
        <v>4.8</v>
      </c>
      <c r="E157" s="14">
        <v>9.6</v>
      </c>
      <c r="F157" s="14">
        <v>200</v>
      </c>
      <c r="G157" s="14"/>
      <c r="H157" s="71"/>
      <c r="I157" s="67"/>
      <c r="J157" s="24"/>
      <c r="K157" s="45" t="s">
        <v>332</v>
      </c>
      <c r="L157" t="s">
        <v>756</v>
      </c>
      <c r="M157" s="32" t="s">
        <v>671</v>
      </c>
      <c r="N157" s="34" t="s">
        <v>673</v>
      </c>
      <c r="O157" s="34"/>
      <c r="P157" s="31"/>
      <c r="Q157">
        <f>14.5*8000+60800</f>
        <v>176800</v>
      </c>
      <c r="R157">
        <f>Q157/8000</f>
        <v>22.1</v>
      </c>
    </row>
    <row r="158" spans="1:19" x14ac:dyDescent="0.35">
      <c r="A158" s="43">
        <v>44228</v>
      </c>
      <c r="B158" s="14" t="s">
        <v>90</v>
      </c>
      <c r="C158" s="14" t="s">
        <v>330</v>
      </c>
      <c r="D158" s="16">
        <f>-F158*E158*0.0035</f>
        <v>73.08</v>
      </c>
      <c r="E158" s="14">
        <v>23.2</v>
      </c>
      <c r="F158" s="14">
        <v>-900</v>
      </c>
      <c r="G158" s="14"/>
      <c r="H158" s="71">
        <f>Table1[[#This Row],[Result]]/(E159*F159)</f>
        <v>-8.8713438735177855E-2</v>
      </c>
      <c r="I158" s="69"/>
      <c r="J158" s="59">
        <f>-Table1[[#This Row],[Price]]*Table1[[#This Row],[Volume]]-E159*F159-Table1[[#This Row],[Commission]]-D159</f>
        <v>-2020.0049999999999</v>
      </c>
      <c r="K158" s="45"/>
      <c r="L158" t="s">
        <v>756</v>
      </c>
      <c r="M158" s="32" t="s">
        <v>669</v>
      </c>
      <c r="N158" s="34" t="s">
        <v>670</v>
      </c>
      <c r="O158" s="34">
        <f>(54.6-39.7)*8000+3000</f>
        <v>122199.99999999999</v>
      </c>
      <c r="P158" s="31">
        <f>14.5*8000</f>
        <v>116000</v>
      </c>
      <c r="Q158">
        <f>8000*54.6-42.7*8000</f>
        <v>95200</v>
      </c>
      <c r="R158">
        <f>ROUNDDOWN(P160*1.1,1)</f>
        <v>39.6</v>
      </c>
      <c r="S158" t="s">
        <v>118</v>
      </c>
    </row>
    <row r="159" spans="1:19" x14ac:dyDescent="0.35">
      <c r="A159" s="43">
        <v>44223</v>
      </c>
      <c r="B159" s="14" t="s">
        <v>62</v>
      </c>
      <c r="C159" s="14" t="s">
        <v>330</v>
      </c>
      <c r="D159" s="16">
        <f>F159*E159*0.0025</f>
        <v>56.925000000000004</v>
      </c>
      <c r="E159" s="14">
        <v>25.3</v>
      </c>
      <c r="F159" s="14">
        <v>900</v>
      </c>
      <c r="G159" s="14"/>
      <c r="H159" s="71"/>
      <c r="I159" s="67"/>
      <c r="J159" s="24"/>
      <c r="K159" s="45" t="s">
        <v>331</v>
      </c>
      <c r="L159" t="s">
        <v>756</v>
      </c>
      <c r="M159" s="32" t="s">
        <v>665</v>
      </c>
      <c r="N159" s="34" t="s">
        <v>666</v>
      </c>
      <c r="O159" s="34"/>
      <c r="P159" s="31"/>
      <c r="S159" s="2" t="s">
        <v>121</v>
      </c>
    </row>
    <row r="160" spans="1:19" x14ac:dyDescent="0.35">
      <c r="A160" s="43">
        <v>44223</v>
      </c>
      <c r="B160" s="14" t="s">
        <v>90</v>
      </c>
      <c r="C160" s="14" t="s">
        <v>318</v>
      </c>
      <c r="D160" s="16">
        <f>-F160*E160*0.0035</f>
        <v>87.15</v>
      </c>
      <c r="E160" s="14">
        <v>41.5</v>
      </c>
      <c r="F160" s="14">
        <v>-600</v>
      </c>
      <c r="G160" s="14"/>
      <c r="H160" s="71">
        <f>Table1[[#This Row],[Result]]/(E162*F162+E163*F163)</f>
        <v>-2.9637816114487358E-2</v>
      </c>
      <c r="I160" s="69"/>
      <c r="J160" s="59">
        <f>-(Table1[[#This Row],[Price]]*Table1[[#This Row],[Volume]])-(E162*F162+E163*F163)-Table1[[#This Row],[Commission]]-D162-D163</f>
        <v>-755.91250000000002</v>
      </c>
      <c r="K160" s="45" t="s">
        <v>329</v>
      </c>
      <c r="L160" t="s">
        <v>756</v>
      </c>
      <c r="M160" s="32" t="s">
        <v>663</v>
      </c>
      <c r="N160" t="s">
        <v>664</v>
      </c>
      <c r="O160" s="33">
        <f>14.5*8000+8000*57.6</f>
        <v>576800</v>
      </c>
      <c r="P160" s="34">
        <f>O160/16000</f>
        <v>36.049999999999997</v>
      </c>
      <c r="S160" s="2" t="s">
        <v>122</v>
      </c>
    </row>
    <row r="161" spans="1:19" x14ac:dyDescent="0.35">
      <c r="A161" s="43">
        <v>44224</v>
      </c>
      <c r="B161" s="14" t="s">
        <v>90</v>
      </c>
      <c r="C161" s="14" t="s">
        <v>92</v>
      </c>
      <c r="D161" s="16">
        <f>-F161*E161*0.0035</f>
        <v>751.1875</v>
      </c>
      <c r="E161" s="14">
        <v>25.25</v>
      </c>
      <c r="F161" s="14">
        <v>-8500</v>
      </c>
      <c r="G161" s="14"/>
      <c r="H161" s="71">
        <f>Table1[[#This Row],[Result]]/(E164*F164)</f>
        <v>-9.2495479204339967E-2</v>
      </c>
      <c r="I161" s="69">
        <f>DATEDIF(A162,A161,"d")-IF(DATEDIF(A162,A161,"d")&gt;7,ROUNDDOWN((DATEDIF(A162,A161,"d")/7),0)*2,1)+1</f>
        <v>6</v>
      </c>
      <c r="J161" s="59">
        <f>-(Table1[[#This Row],[Price]]*Table1[[#This Row],[Volume]])-E164*F164-D164-Table1[[#This Row],[Commission]]</f>
        <v>-21738.75</v>
      </c>
      <c r="K161" s="45" t="s">
        <v>338</v>
      </c>
      <c r="L161" t="s">
        <v>756</v>
      </c>
      <c r="M161" s="32" t="s">
        <v>661</v>
      </c>
      <c r="N161" s="34" t="s">
        <v>662</v>
      </c>
      <c r="O161" s="34"/>
      <c r="P161" s="31"/>
      <c r="S161" s="2" t="s">
        <v>119</v>
      </c>
    </row>
    <row r="162" spans="1:19" x14ac:dyDescent="0.35">
      <c r="A162" s="43">
        <v>44218</v>
      </c>
      <c r="B162" s="14" t="s">
        <v>62</v>
      </c>
      <c r="C162" s="14" t="s">
        <v>318</v>
      </c>
      <c r="D162" s="16">
        <f>F162*E162*0.0025</f>
        <v>10.637500000000001</v>
      </c>
      <c r="E162" s="14">
        <v>42.55</v>
      </c>
      <c r="F162" s="14">
        <v>100</v>
      </c>
      <c r="G162" s="14"/>
      <c r="H162" s="71"/>
      <c r="I162" s="67"/>
      <c r="J162" s="24"/>
      <c r="K162" s="45" t="s">
        <v>319</v>
      </c>
      <c r="L162" t="s">
        <v>756</v>
      </c>
      <c r="M162" s="32" t="s">
        <v>659</v>
      </c>
      <c r="N162" s="34" t="s">
        <v>660</v>
      </c>
      <c r="O162" s="34"/>
      <c r="P162" s="31"/>
      <c r="S162" s="2" t="s">
        <v>120</v>
      </c>
    </row>
    <row r="163" spans="1:19" x14ac:dyDescent="0.35">
      <c r="A163" s="43">
        <v>44218</v>
      </c>
      <c r="B163" s="14" t="s">
        <v>62</v>
      </c>
      <c r="C163" s="14" t="s">
        <v>318</v>
      </c>
      <c r="D163" s="16">
        <f>F163*E163*0.0025</f>
        <v>53.125</v>
      </c>
      <c r="E163" s="14">
        <v>42.5</v>
      </c>
      <c r="F163" s="14">
        <v>500</v>
      </c>
      <c r="G163" s="14"/>
      <c r="H163" s="71"/>
      <c r="I163" s="67"/>
      <c r="J163" s="24"/>
      <c r="K163" s="45" t="s">
        <v>320</v>
      </c>
      <c r="L163" t="s">
        <v>756</v>
      </c>
      <c r="M163" s="32" t="s">
        <v>655</v>
      </c>
      <c r="N163" s="34" t="s">
        <v>656</v>
      </c>
      <c r="O163" s="34"/>
      <c r="P163" s="31"/>
      <c r="S163" s="2" t="s">
        <v>124</v>
      </c>
    </row>
    <row r="164" spans="1:19" x14ac:dyDescent="0.35">
      <c r="A164" s="43">
        <v>44218</v>
      </c>
      <c r="B164" s="14" t="s">
        <v>62</v>
      </c>
      <c r="C164" s="14" t="s">
        <v>92</v>
      </c>
      <c r="D164" s="16">
        <f>F164*E164*0.0025</f>
        <v>587.5625</v>
      </c>
      <c r="E164" s="14">
        <v>27.65</v>
      </c>
      <c r="F164" s="14">
        <v>8500</v>
      </c>
      <c r="G164" s="14"/>
      <c r="H164" s="71"/>
      <c r="I164" s="67"/>
      <c r="J164" s="24"/>
      <c r="K164" s="45" t="s">
        <v>321</v>
      </c>
      <c r="L164" t="s">
        <v>756</v>
      </c>
      <c r="M164" s="32" t="s">
        <v>653</v>
      </c>
      <c r="N164" s="34" t="s">
        <v>654</v>
      </c>
      <c r="O164" s="34"/>
      <c r="P164" s="31"/>
      <c r="S164" s="2" t="s">
        <v>127</v>
      </c>
    </row>
    <row r="165" spans="1:19" x14ac:dyDescent="0.35">
      <c r="A165" s="43">
        <v>44215</v>
      </c>
      <c r="B165" s="14" t="s">
        <v>90</v>
      </c>
      <c r="C165" s="14" t="s">
        <v>311</v>
      </c>
      <c r="D165" s="16">
        <f>-F165*E165*0.0035</f>
        <v>17.5</v>
      </c>
      <c r="E165" s="14">
        <v>12.5</v>
      </c>
      <c r="F165" s="14">
        <v>-400</v>
      </c>
      <c r="G165" s="14"/>
      <c r="H165" s="71">
        <f>J165/(D168*F168)</f>
        <v>4.4243697478991595E-2</v>
      </c>
      <c r="I165" s="69"/>
      <c r="J165" s="24">
        <f>-F165*E165-F168*E168-D168-D165</f>
        <v>210.6</v>
      </c>
      <c r="K165" s="45" t="s">
        <v>312</v>
      </c>
      <c r="L165" t="s">
        <v>756</v>
      </c>
      <c r="M165" s="32" t="s">
        <v>651</v>
      </c>
      <c r="N165" s="34" t="s">
        <v>652</v>
      </c>
      <c r="O165" s="34"/>
      <c r="P165" s="31"/>
      <c r="S165" s="2" t="s">
        <v>145</v>
      </c>
    </row>
    <row r="166" spans="1:19" x14ac:dyDescent="0.35">
      <c r="A166" s="43">
        <v>44215</v>
      </c>
      <c r="B166" s="14" t="s">
        <v>90</v>
      </c>
      <c r="C166" s="14" t="s">
        <v>199</v>
      </c>
      <c r="D166" s="16">
        <f>-F166*E166*0.0035</f>
        <v>899.87800000000004</v>
      </c>
      <c r="E166" s="14">
        <v>7.96</v>
      </c>
      <c r="F166" s="14">
        <v>-32300</v>
      </c>
      <c r="G166" s="14"/>
      <c r="H166" s="71">
        <f>J166/244200</f>
        <v>-6.5986836609336616E-2</v>
      </c>
      <c r="I166" s="69">
        <f>DATEDIF(A167,A166,"d")-IF(DATEDIF(A167,A166,"d")&gt;7,ROUNDDOWN((DATEDIF(A167,A166,"d")/7),0)*2,1)+1</f>
        <v>5</v>
      </c>
      <c r="J166" s="59">
        <f>-F166*E166-(F167*E167)-(D166+D167)</f>
        <v>-16113.985500000001</v>
      </c>
      <c r="K166" s="45" t="s">
        <v>316</v>
      </c>
      <c r="L166" t="s">
        <v>756</v>
      </c>
      <c r="M166" s="32" t="s">
        <v>648</v>
      </c>
      <c r="N166" s="34" t="s">
        <v>650</v>
      </c>
      <c r="O166" s="34"/>
      <c r="P166" s="31"/>
      <c r="S166" s="26" t="s">
        <v>153</v>
      </c>
    </row>
    <row r="167" spans="1:19" x14ac:dyDescent="0.35">
      <c r="A167" s="43">
        <v>44210</v>
      </c>
      <c r="B167" s="14" t="s">
        <v>62</v>
      </c>
      <c r="C167" s="14" t="s">
        <v>199</v>
      </c>
      <c r="D167" s="16">
        <f>F167*E167*0.0025</f>
        <v>679.10749999999996</v>
      </c>
      <c r="E167" s="14">
        <v>8.41</v>
      </c>
      <c r="F167" s="14">
        <v>32300</v>
      </c>
      <c r="G167" s="14"/>
      <c r="H167" s="71"/>
      <c r="I167" s="67"/>
      <c r="J167" s="24"/>
      <c r="K167" s="45" t="s">
        <v>315</v>
      </c>
      <c r="L167" t="s">
        <v>756</v>
      </c>
      <c r="M167" s="32" t="s">
        <v>646</v>
      </c>
      <c r="N167" s="34" t="s">
        <v>647</v>
      </c>
      <c r="O167" s="34"/>
      <c r="P167" s="31"/>
      <c r="S167" s="26" t="s">
        <v>154</v>
      </c>
    </row>
    <row r="168" spans="1:19" x14ac:dyDescent="0.35">
      <c r="A168" s="43">
        <v>44210</v>
      </c>
      <c r="B168" s="14" t="s">
        <v>62</v>
      </c>
      <c r="C168" s="14" t="s">
        <v>311</v>
      </c>
      <c r="D168" s="16">
        <f>F168*E168*0.0025</f>
        <v>11.9</v>
      </c>
      <c r="E168" s="14">
        <v>11.9</v>
      </c>
      <c r="F168" s="14">
        <v>400</v>
      </c>
      <c r="G168" s="14"/>
      <c r="H168" s="71"/>
      <c r="I168" s="67"/>
      <c r="J168" s="24"/>
      <c r="K168" s="45"/>
      <c r="L168" t="s">
        <v>756</v>
      </c>
      <c r="M168" s="32" t="s">
        <v>644</v>
      </c>
      <c r="N168" s="33" t="s">
        <v>645</v>
      </c>
      <c r="O168" s="34"/>
      <c r="P168" s="31"/>
    </row>
    <row r="169" spans="1:19" x14ac:dyDescent="0.35">
      <c r="A169" s="43">
        <v>44209</v>
      </c>
      <c r="B169" s="14" t="s">
        <v>90</v>
      </c>
      <c r="C169" s="14" t="s">
        <v>303</v>
      </c>
      <c r="D169" s="16">
        <f>-F169*E169*0.0035</f>
        <v>962.5</v>
      </c>
      <c r="E169" s="14">
        <v>12.5</v>
      </c>
      <c r="F169" s="14">
        <v>-22000</v>
      </c>
      <c r="G169" s="14"/>
      <c r="H169" s="71">
        <f>J169/244200</f>
        <v>0.11968468468468468</v>
      </c>
      <c r="I169" s="69">
        <f>DATEDIF(A170,A169,"d")-IF(DATEDIF(A170,A169,"d")&gt;7,ROUNDDOWN((DATEDIF(A170,A169,"d")/7),0)*2,1)+1</f>
        <v>8</v>
      </c>
      <c r="J169" s="24">
        <f>-F169*E169-(F170*E170+F171*E171)-(D169+D170+D171)</f>
        <v>29227</v>
      </c>
      <c r="K169" s="45" t="s">
        <v>323</v>
      </c>
      <c r="L169" t="s">
        <v>756</v>
      </c>
      <c r="M169" s="32" t="s">
        <v>642</v>
      </c>
      <c r="N169" s="101" t="s">
        <v>643</v>
      </c>
      <c r="O169" s="34"/>
      <c r="P169" s="31"/>
    </row>
    <row r="170" spans="1:19" x14ac:dyDescent="0.35">
      <c r="A170" s="43">
        <v>44200</v>
      </c>
      <c r="B170" s="14" t="s">
        <v>62</v>
      </c>
      <c r="C170" s="14" t="s">
        <v>303</v>
      </c>
      <c r="D170" s="16">
        <f>F170*E170*0.0025</f>
        <v>302.5</v>
      </c>
      <c r="E170" s="14">
        <v>11</v>
      </c>
      <c r="F170" s="14">
        <v>11000</v>
      </c>
      <c r="G170" s="14"/>
      <c r="H170" s="71"/>
      <c r="I170" s="67"/>
      <c r="J170" s="24"/>
      <c r="K170" s="45" t="s">
        <v>306</v>
      </c>
      <c r="L170" t="s">
        <v>756</v>
      </c>
      <c r="M170" s="32" t="s">
        <v>639</v>
      </c>
      <c r="N170" s="34" t="s">
        <v>640</v>
      </c>
      <c r="O170" s="34"/>
      <c r="P170" s="31"/>
    </row>
    <row r="171" spans="1:19" x14ac:dyDescent="0.35">
      <c r="A171" s="43">
        <v>44200</v>
      </c>
      <c r="B171" s="14" t="s">
        <v>62</v>
      </c>
      <c r="C171" s="14" t="s">
        <v>303</v>
      </c>
      <c r="D171" s="16">
        <f>F171*E171*0.0025</f>
        <v>307.99999999999994</v>
      </c>
      <c r="E171" s="14">
        <v>11.2</v>
      </c>
      <c r="F171" s="14">
        <v>11000</v>
      </c>
      <c r="G171" s="14"/>
      <c r="H171" s="71"/>
      <c r="I171" s="67"/>
      <c r="J171" s="24"/>
      <c r="K171" s="45" t="s">
        <v>304</v>
      </c>
      <c r="L171" t="s">
        <v>756</v>
      </c>
      <c r="M171" s="32" t="s">
        <v>638</v>
      </c>
      <c r="N171" s="99" t="s">
        <v>641</v>
      </c>
      <c r="O171" s="34"/>
      <c r="P171" s="31"/>
    </row>
    <row r="172" spans="1:19" x14ac:dyDescent="0.35">
      <c r="A172" s="43">
        <v>44200</v>
      </c>
      <c r="B172" s="14" t="s">
        <v>227</v>
      </c>
      <c r="C172" s="14"/>
      <c r="D172" s="16"/>
      <c r="E172" s="14"/>
      <c r="F172" s="14"/>
      <c r="G172" s="14">
        <v>6500</v>
      </c>
      <c r="H172" s="71"/>
      <c r="I172" s="67"/>
      <c r="J172" s="24"/>
      <c r="K172" s="45" t="s">
        <v>301</v>
      </c>
      <c r="L172" t="s">
        <v>756</v>
      </c>
      <c r="M172" s="32" t="s">
        <v>636</v>
      </c>
      <c r="N172" s="34" t="s">
        <v>637</v>
      </c>
      <c r="O172" s="34"/>
      <c r="P172" s="31"/>
    </row>
    <row r="173" spans="1:19" x14ac:dyDescent="0.35">
      <c r="A173" s="43">
        <v>44195</v>
      </c>
      <c r="B173" s="14" t="s">
        <v>90</v>
      </c>
      <c r="C173" s="14" t="s">
        <v>199</v>
      </c>
      <c r="D173" s="16">
        <f>-F173*E173*0.0035</f>
        <v>842.87700000000007</v>
      </c>
      <c r="E173" s="14">
        <v>7.0830000000000002</v>
      </c>
      <c r="F173" s="14">
        <v>-34000</v>
      </c>
      <c r="G173" s="13"/>
      <c r="H173" s="74">
        <f>J173/(E174*F174)</f>
        <v>3.3947797356828194E-2</v>
      </c>
      <c r="I173" s="69">
        <f>DATEDIF(A174,A173,"d")-IF(DATEDIF(A174,A173,"d")&gt;7,ROUNDDOWN((DATEDIF(A174,A173,"d")/7),0)*2,1)+1</f>
        <v>5</v>
      </c>
      <c r="J173" s="24">
        <f>-E173*F173-E174*F174-D173-D174</f>
        <v>7860.2729999999992</v>
      </c>
      <c r="K173" s="46" t="s">
        <v>276</v>
      </c>
      <c r="L173" t="s">
        <v>756</v>
      </c>
      <c r="M173" s="32" t="s">
        <v>634</v>
      </c>
      <c r="N173" s="34" t="s">
        <v>635</v>
      </c>
      <c r="O173" s="34"/>
      <c r="P173" s="31"/>
    </row>
    <row r="174" spans="1:19" x14ac:dyDescent="0.35">
      <c r="A174" s="43">
        <v>44190</v>
      </c>
      <c r="B174" s="14" t="s">
        <v>62</v>
      </c>
      <c r="C174" s="14" t="s">
        <v>199</v>
      </c>
      <c r="D174" s="16">
        <f>F174*E174*0.0025</f>
        <v>578.85</v>
      </c>
      <c r="E174" s="14">
        <v>6.81</v>
      </c>
      <c r="F174" s="14">
        <v>34000</v>
      </c>
      <c r="G174" s="13"/>
      <c r="H174" s="75"/>
      <c r="I174" s="67"/>
      <c r="J174" s="23"/>
      <c r="K174" s="45" t="s">
        <v>270</v>
      </c>
      <c r="L174" t="s">
        <v>756</v>
      </c>
      <c r="M174" s="32" t="s">
        <v>632</v>
      </c>
      <c r="N174" s="34" t="s">
        <v>633</v>
      </c>
      <c r="O174" s="34"/>
      <c r="P174" s="31"/>
    </row>
    <row r="175" spans="1:19" x14ac:dyDescent="0.35">
      <c r="A175" s="43">
        <v>44190</v>
      </c>
      <c r="B175" s="14" t="s">
        <v>90</v>
      </c>
      <c r="C175" s="14" t="s">
        <v>266</v>
      </c>
      <c r="D175" s="16">
        <f>-F175*E175*0.0035</f>
        <v>199.85</v>
      </c>
      <c r="E175" s="14">
        <v>28.55</v>
      </c>
      <c r="F175" s="14">
        <v>-2000</v>
      </c>
      <c r="G175" s="14"/>
      <c r="H175" s="75"/>
      <c r="I175" s="67"/>
      <c r="J175" s="23"/>
      <c r="K175" s="45" t="s">
        <v>295</v>
      </c>
      <c r="L175" t="s">
        <v>756</v>
      </c>
      <c r="M175" s="32" t="s">
        <v>630</v>
      </c>
      <c r="N175" s="34" t="s">
        <v>631</v>
      </c>
      <c r="O175" s="34"/>
      <c r="P175" s="31"/>
    </row>
    <row r="176" spans="1:19" x14ac:dyDescent="0.35">
      <c r="A176" s="43">
        <v>44190</v>
      </c>
      <c r="B176" s="14" t="s">
        <v>90</v>
      </c>
      <c r="C176" s="14" t="s">
        <v>63</v>
      </c>
      <c r="D176" s="16">
        <f>-F176*E176*0.0035</f>
        <v>603.54</v>
      </c>
      <c r="E176" s="14">
        <v>9.58</v>
      </c>
      <c r="F176" s="14">
        <v>-18000</v>
      </c>
      <c r="G176" s="14"/>
      <c r="H176" s="74">
        <f>J176/(E177*F177)</f>
        <v>1.2002656748140276E-2</v>
      </c>
      <c r="I176" s="69">
        <f>DATEDIF(A177,A176,"d")-IF(DATEDIF(A177,A176,"d")&gt;7,ROUNDDOWN((DATEDIF(A177,A176,"d")/7),0)*2,1)+1</f>
        <v>3</v>
      </c>
      <c r="J176" s="24">
        <f>-E176*F176-E177*F177-D176-D177</f>
        <v>2033.01</v>
      </c>
      <c r="K176" s="45" t="s">
        <v>269</v>
      </c>
      <c r="L176" t="s">
        <v>756</v>
      </c>
      <c r="M176" s="32" t="s">
        <v>628</v>
      </c>
      <c r="N176" s="34" t="s">
        <v>629</v>
      </c>
      <c r="O176" s="34"/>
      <c r="P176" s="31"/>
    </row>
    <row r="177" spans="1:16" x14ac:dyDescent="0.35">
      <c r="A177" s="43">
        <v>44187</v>
      </c>
      <c r="B177" s="14" t="s">
        <v>62</v>
      </c>
      <c r="C177" s="14" t="s">
        <v>63</v>
      </c>
      <c r="D177" s="16">
        <f>F177*E177*0.0025</f>
        <v>423.45</v>
      </c>
      <c r="E177" s="14">
        <v>9.41</v>
      </c>
      <c r="F177" s="14">
        <v>18000</v>
      </c>
      <c r="G177" s="14"/>
      <c r="H177" s="71"/>
      <c r="I177" s="67"/>
      <c r="J177" s="24"/>
      <c r="K177" s="45" t="s">
        <v>268</v>
      </c>
      <c r="L177" t="s">
        <v>756</v>
      </c>
      <c r="M177" s="32" t="s">
        <v>626</v>
      </c>
      <c r="N177" s="34" t="s">
        <v>627</v>
      </c>
      <c r="O177" s="34"/>
      <c r="P177" s="31"/>
    </row>
    <row r="178" spans="1:16" x14ac:dyDescent="0.35">
      <c r="A178" s="43">
        <v>44186</v>
      </c>
      <c r="B178" s="14" t="s">
        <v>62</v>
      </c>
      <c r="C178" s="14" t="s">
        <v>266</v>
      </c>
      <c r="D178" s="16">
        <f>F178*E178*0.0025</f>
        <v>71.625</v>
      </c>
      <c r="E178" s="14">
        <v>28.65</v>
      </c>
      <c r="F178" s="14">
        <v>1000</v>
      </c>
      <c r="G178" s="14"/>
      <c r="H178" s="71"/>
      <c r="I178" s="69"/>
      <c r="J178" s="24"/>
      <c r="K178" s="45" t="s">
        <v>267</v>
      </c>
      <c r="L178" t="s">
        <v>756</v>
      </c>
      <c r="M178" s="32" t="s">
        <v>624</v>
      </c>
      <c r="N178" s="34" t="s">
        <v>625</v>
      </c>
      <c r="O178" s="34"/>
      <c r="P178" s="31"/>
    </row>
    <row r="179" spans="1:16" x14ac:dyDescent="0.35">
      <c r="A179" s="43">
        <v>44186</v>
      </c>
      <c r="B179" s="14" t="s">
        <v>62</v>
      </c>
      <c r="C179" s="14" t="s">
        <v>266</v>
      </c>
      <c r="D179" s="16">
        <f>F179*E179*0.0025</f>
        <v>71.5</v>
      </c>
      <c r="E179" s="14">
        <v>28.6</v>
      </c>
      <c r="F179" s="14">
        <v>1000</v>
      </c>
      <c r="G179" s="14"/>
      <c r="H179" s="71"/>
      <c r="I179" s="67"/>
      <c r="J179" s="24"/>
      <c r="K179" s="45" t="s">
        <v>265</v>
      </c>
      <c r="L179" t="s">
        <v>756</v>
      </c>
      <c r="M179" s="32" t="s">
        <v>621</v>
      </c>
      <c r="N179" s="33" t="s">
        <v>622</v>
      </c>
      <c r="O179" s="34"/>
      <c r="P179" s="31"/>
    </row>
    <row r="180" spans="1:16" x14ac:dyDescent="0.35">
      <c r="A180" s="43">
        <v>44186</v>
      </c>
      <c r="B180" s="14" t="s">
        <v>227</v>
      </c>
      <c r="C180" s="14"/>
      <c r="D180" s="16"/>
      <c r="E180" s="14"/>
      <c r="F180" s="14"/>
      <c r="G180" s="14">
        <v>35500</v>
      </c>
      <c r="H180" s="71"/>
      <c r="I180" s="67"/>
      <c r="J180" s="24"/>
      <c r="K180" s="45" t="s">
        <v>264</v>
      </c>
      <c r="L180" t="s">
        <v>756</v>
      </c>
      <c r="M180" s="32" t="s">
        <v>619</v>
      </c>
      <c r="N180" s="34" t="s">
        <v>620</v>
      </c>
      <c r="O180" s="34"/>
      <c r="P180" s="31"/>
    </row>
    <row r="181" spans="1:16" x14ac:dyDescent="0.35">
      <c r="A181" s="43">
        <v>44183</v>
      </c>
      <c r="B181" s="14" t="s">
        <v>226</v>
      </c>
      <c r="C181" s="14"/>
      <c r="D181" s="16"/>
      <c r="E181" s="14"/>
      <c r="F181" s="14"/>
      <c r="G181" s="14">
        <v>-29000</v>
      </c>
      <c r="H181" s="71"/>
      <c r="I181" s="67"/>
      <c r="J181" s="24"/>
      <c r="K181" s="45"/>
      <c r="L181" t="s">
        <v>756</v>
      </c>
      <c r="M181" s="32" t="s">
        <v>617</v>
      </c>
      <c r="N181" s="34" t="s">
        <v>618</v>
      </c>
      <c r="O181" s="34"/>
      <c r="P181" s="31"/>
    </row>
    <row r="182" spans="1:16" x14ac:dyDescent="0.35">
      <c r="A182" s="43">
        <v>44183</v>
      </c>
      <c r="B182" s="14" t="s">
        <v>90</v>
      </c>
      <c r="C182" s="14" t="s">
        <v>258</v>
      </c>
      <c r="D182" s="16">
        <f>-F182*E182*0.0035</f>
        <v>147</v>
      </c>
      <c r="E182" s="14">
        <v>28</v>
      </c>
      <c r="F182" s="14">
        <v>-1500</v>
      </c>
      <c r="G182" s="14"/>
      <c r="H182" s="71"/>
      <c r="I182" s="67"/>
      <c r="J182" s="24"/>
      <c r="K182" s="45" t="s">
        <v>263</v>
      </c>
      <c r="L182" t="s">
        <v>756</v>
      </c>
      <c r="M182" s="32" t="s">
        <v>614</v>
      </c>
      <c r="N182" s="34" t="s">
        <v>615</v>
      </c>
      <c r="O182" s="34"/>
      <c r="P182" s="31"/>
    </row>
    <row r="183" spans="1:16" x14ac:dyDescent="0.35">
      <c r="A183" s="43">
        <v>44181</v>
      </c>
      <c r="B183" s="14" t="s">
        <v>90</v>
      </c>
      <c r="C183" s="14" t="s">
        <v>63</v>
      </c>
      <c r="D183" s="16">
        <f>-F183*E183*0.0035</f>
        <v>522.31899999999996</v>
      </c>
      <c r="E183" s="14">
        <v>8.99</v>
      </c>
      <c r="F183" s="14">
        <v>-16600</v>
      </c>
      <c r="G183" s="14"/>
      <c r="H183" s="71"/>
      <c r="I183" s="67"/>
      <c r="J183" s="24"/>
      <c r="K183" s="45" t="s">
        <v>261</v>
      </c>
      <c r="L183" t="s">
        <v>756</v>
      </c>
      <c r="M183" s="32" t="s">
        <v>441</v>
      </c>
      <c r="N183" s="34" t="s">
        <v>443</v>
      </c>
      <c r="O183" s="34"/>
      <c r="P183" s="31"/>
    </row>
    <row r="184" spans="1:16" x14ac:dyDescent="0.35">
      <c r="A184" s="43">
        <v>44180</v>
      </c>
      <c r="B184" s="14" t="s">
        <v>62</v>
      </c>
      <c r="C184" s="14" t="s">
        <v>258</v>
      </c>
      <c r="D184" s="16">
        <f>F184*E184*0.0025</f>
        <v>35.6875</v>
      </c>
      <c r="E184" s="14">
        <v>28.55</v>
      </c>
      <c r="F184" s="14">
        <v>500</v>
      </c>
      <c r="G184" s="14"/>
      <c r="H184" s="71"/>
      <c r="I184" s="67"/>
      <c r="J184" s="24"/>
      <c r="K184" s="45"/>
      <c r="L184" t="s">
        <v>756</v>
      </c>
      <c r="M184" s="32" t="s">
        <v>439</v>
      </c>
      <c r="N184" s="34" t="s">
        <v>440</v>
      </c>
      <c r="O184" s="34"/>
      <c r="P184" s="31"/>
    </row>
    <row r="185" spans="1:16" x14ac:dyDescent="0.35">
      <c r="A185" s="43">
        <v>44180</v>
      </c>
      <c r="B185" s="14" t="s">
        <v>62</v>
      </c>
      <c r="C185" s="14" t="s">
        <v>258</v>
      </c>
      <c r="D185" s="16">
        <f>F185*E185*0.0025</f>
        <v>71.5</v>
      </c>
      <c r="E185" s="14">
        <v>28.6</v>
      </c>
      <c r="F185" s="14">
        <v>1000</v>
      </c>
      <c r="G185" s="14">
        <v>80000</v>
      </c>
      <c r="H185" s="71"/>
      <c r="I185" s="67"/>
      <c r="J185" s="24"/>
      <c r="K185" s="45" t="s">
        <v>262</v>
      </c>
      <c r="L185" t="s">
        <v>756</v>
      </c>
      <c r="M185" s="32" t="s">
        <v>437</v>
      </c>
      <c r="N185" s="34" t="s">
        <v>438</v>
      </c>
      <c r="O185" s="34"/>
      <c r="P185" s="31"/>
    </row>
    <row r="186" spans="1:16" x14ac:dyDescent="0.35">
      <c r="A186" s="43">
        <v>44172</v>
      </c>
      <c r="B186" s="14" t="s">
        <v>62</v>
      </c>
      <c r="C186" s="14" t="s">
        <v>63</v>
      </c>
      <c r="D186" s="16">
        <f>F186*E186*0.0025</f>
        <v>12.66</v>
      </c>
      <c r="E186" s="14">
        <v>8.44</v>
      </c>
      <c r="F186" s="14">
        <v>600</v>
      </c>
      <c r="G186" s="14"/>
      <c r="H186" s="71">
        <v>8.1999999999999993</v>
      </c>
      <c r="I186" s="67"/>
      <c r="J186" s="24"/>
      <c r="K186" s="45" t="s">
        <v>255</v>
      </c>
      <c r="L186" t="s">
        <v>756</v>
      </c>
      <c r="M186" s="32" t="s">
        <v>428</v>
      </c>
      <c r="N186" s="34" t="s">
        <v>429</v>
      </c>
      <c r="O186" s="34"/>
      <c r="P186" s="31"/>
    </row>
    <row r="187" spans="1:16" x14ac:dyDescent="0.35">
      <c r="A187" s="43">
        <v>44172</v>
      </c>
      <c r="B187" s="14" t="s">
        <v>227</v>
      </c>
      <c r="C187" s="14"/>
      <c r="D187" s="16"/>
      <c r="E187" s="14"/>
      <c r="F187" s="14"/>
      <c r="G187" s="14">
        <v>5000</v>
      </c>
      <c r="H187" s="71"/>
      <c r="I187" s="67"/>
      <c r="J187" s="24"/>
      <c r="K187" s="45"/>
      <c r="L187" t="s">
        <v>756</v>
      </c>
      <c r="M187" s="32" t="s">
        <v>426</v>
      </c>
      <c r="N187" s="34" t="s">
        <v>427</v>
      </c>
      <c r="O187" s="34"/>
      <c r="P187" s="31"/>
    </row>
    <row r="188" spans="1:16" x14ac:dyDescent="0.35">
      <c r="A188" s="43">
        <v>44168</v>
      </c>
      <c r="B188" s="14" t="s">
        <v>62</v>
      </c>
      <c r="C188" s="14" t="s">
        <v>63</v>
      </c>
      <c r="D188" s="16">
        <f>F188*E188*0.0025</f>
        <v>11.595000000000001</v>
      </c>
      <c r="E188" s="14">
        <v>7.73</v>
      </c>
      <c r="F188" s="14">
        <v>600</v>
      </c>
      <c r="G188" s="14"/>
      <c r="H188" s="71"/>
      <c r="I188" s="67"/>
      <c r="J188" s="24"/>
      <c r="K188" s="45"/>
      <c r="L188" t="s">
        <v>756</v>
      </c>
      <c r="M188" s="32" t="s">
        <v>424</v>
      </c>
      <c r="N188" s="34" t="s">
        <v>425</v>
      </c>
      <c r="O188" s="34"/>
      <c r="P188" s="31"/>
    </row>
    <row r="189" spans="1:16" x14ac:dyDescent="0.35">
      <c r="A189" s="43">
        <v>44167</v>
      </c>
      <c r="B189" s="14" t="s">
        <v>227</v>
      </c>
      <c r="C189" s="14"/>
      <c r="D189" s="16"/>
      <c r="E189" s="14"/>
      <c r="F189" s="14"/>
      <c r="G189" s="14">
        <v>5000</v>
      </c>
      <c r="H189" s="71"/>
      <c r="I189" s="67"/>
      <c r="J189" s="24"/>
      <c r="K189" s="45"/>
      <c r="L189" t="s">
        <v>756</v>
      </c>
      <c r="M189" s="32" t="s">
        <v>422</v>
      </c>
      <c r="N189" s="34" t="s">
        <v>423</v>
      </c>
      <c r="O189" s="34"/>
      <c r="P189" s="31"/>
    </row>
    <row r="190" spans="1:16" x14ac:dyDescent="0.35">
      <c r="A190" s="43">
        <v>44166</v>
      </c>
      <c r="B190" s="14" t="s">
        <v>62</v>
      </c>
      <c r="C190" s="14" t="s">
        <v>63</v>
      </c>
      <c r="D190" s="16">
        <f>F190*E190*0.0025</f>
        <v>7.71</v>
      </c>
      <c r="E190" s="14">
        <v>7.71</v>
      </c>
      <c r="F190" s="14">
        <v>400</v>
      </c>
      <c r="G190" s="14"/>
      <c r="H190" s="71"/>
      <c r="I190" s="67"/>
      <c r="J190" s="24"/>
      <c r="K190" s="45"/>
      <c r="L190" t="s">
        <v>756</v>
      </c>
      <c r="M190" s="32" t="s">
        <v>420</v>
      </c>
      <c r="N190" s="34" t="s">
        <v>421</v>
      </c>
      <c r="O190" s="34"/>
      <c r="P190" s="31"/>
    </row>
    <row r="191" spans="1:16" x14ac:dyDescent="0.35">
      <c r="A191" s="43">
        <v>44159</v>
      </c>
      <c r="B191" s="14" t="s">
        <v>62</v>
      </c>
      <c r="C191" s="14" t="s">
        <v>63</v>
      </c>
      <c r="D191" s="16">
        <f>F191*E191*0.0025</f>
        <v>11.328749999999999</v>
      </c>
      <c r="E191" s="14">
        <v>7.95</v>
      </c>
      <c r="F191" s="14">
        <v>570</v>
      </c>
      <c r="G191" s="14"/>
      <c r="H191" s="71">
        <f>8.151+0.06</f>
        <v>8.2110000000000003</v>
      </c>
      <c r="I191" s="67"/>
      <c r="J191" s="24"/>
      <c r="K191" s="45" t="s">
        <v>254</v>
      </c>
      <c r="L191" t="s">
        <v>756</v>
      </c>
      <c r="M191" s="32" t="s">
        <v>417</v>
      </c>
      <c r="N191" s="34" t="s">
        <v>419</v>
      </c>
      <c r="O191" s="34"/>
      <c r="P191" s="31"/>
    </row>
    <row r="192" spans="1:16" x14ac:dyDescent="0.35">
      <c r="A192" s="43">
        <v>44158</v>
      </c>
      <c r="B192" s="14" t="s">
        <v>227</v>
      </c>
      <c r="C192" s="14"/>
      <c r="D192" s="16"/>
      <c r="E192" s="14"/>
      <c r="F192" s="14"/>
      <c r="G192" s="14">
        <v>7500</v>
      </c>
      <c r="H192" s="71"/>
      <c r="I192" s="67"/>
      <c r="J192" s="24"/>
      <c r="K192" s="45" t="s">
        <v>253</v>
      </c>
      <c r="L192" t="s">
        <v>756</v>
      </c>
      <c r="M192" s="64" t="s">
        <v>415</v>
      </c>
      <c r="N192" s="34" t="s">
        <v>416</v>
      </c>
      <c r="O192" s="34"/>
      <c r="P192" s="31"/>
    </row>
    <row r="193" spans="1:20" x14ac:dyDescent="0.35">
      <c r="A193" s="42"/>
      <c r="B193" s="14" t="s">
        <v>90</v>
      </c>
      <c r="C193" s="14" t="s">
        <v>189</v>
      </c>
      <c r="D193" s="16">
        <f>-F193*E193*0.0035</f>
        <v>0.84699999999999998</v>
      </c>
      <c r="E193" s="14">
        <v>12.1</v>
      </c>
      <c r="F193" s="14">
        <v>-20</v>
      </c>
      <c r="G193" s="14"/>
      <c r="H193" s="71"/>
      <c r="I193" s="67"/>
      <c r="J193" s="24"/>
      <c r="K193" s="45"/>
      <c r="L193" t="s">
        <v>756</v>
      </c>
      <c r="M193" s="32" t="s">
        <v>410</v>
      </c>
      <c r="N193" s="34" t="s">
        <v>414</v>
      </c>
      <c r="O193" s="34"/>
      <c r="P193" s="31"/>
    </row>
    <row r="194" spans="1:20" x14ac:dyDescent="0.35">
      <c r="A194" s="43">
        <v>44126</v>
      </c>
      <c r="B194" s="14" t="s">
        <v>62</v>
      </c>
      <c r="C194" s="14" t="s">
        <v>63</v>
      </c>
      <c r="D194" s="16">
        <f>F194*E194*0.0025</f>
        <v>31.377500000000001</v>
      </c>
      <c r="E194" s="14">
        <v>7.7</v>
      </c>
      <c r="F194" s="14">
        <v>1630</v>
      </c>
      <c r="G194" s="14"/>
      <c r="H194" s="71"/>
      <c r="I194" s="67"/>
      <c r="J194" s="24"/>
      <c r="K194" s="45"/>
      <c r="L194" t="s">
        <v>756</v>
      </c>
      <c r="M194" s="32" t="s">
        <v>406</v>
      </c>
      <c r="N194" s="34" t="s">
        <v>409</v>
      </c>
      <c r="O194" s="34"/>
      <c r="P194" s="31"/>
    </row>
    <row r="195" spans="1:20" x14ac:dyDescent="0.35">
      <c r="A195" s="43">
        <v>44126</v>
      </c>
      <c r="B195" s="14" t="s">
        <v>227</v>
      </c>
      <c r="C195" s="14"/>
      <c r="D195" s="16"/>
      <c r="E195" s="14"/>
      <c r="F195" s="14"/>
      <c r="G195" s="14">
        <v>12500</v>
      </c>
      <c r="H195" s="71"/>
      <c r="I195" s="67"/>
      <c r="J195" s="24"/>
      <c r="K195" s="45"/>
      <c r="L195" t="s">
        <v>756</v>
      </c>
      <c r="M195" s="32" t="s">
        <v>403</v>
      </c>
      <c r="N195" s="34" t="s">
        <v>404</v>
      </c>
      <c r="O195" s="34"/>
      <c r="P195" s="31"/>
    </row>
    <row r="196" spans="1:20" x14ac:dyDescent="0.35">
      <c r="A196" s="43">
        <v>44119</v>
      </c>
      <c r="B196" s="14" t="s">
        <v>62</v>
      </c>
      <c r="C196" s="14" t="s">
        <v>63</v>
      </c>
      <c r="D196" s="16">
        <f>F196*E196*0.0025</f>
        <v>25.35</v>
      </c>
      <c r="E196" s="14">
        <v>7.8</v>
      </c>
      <c r="F196" s="14">
        <v>1300</v>
      </c>
      <c r="G196" s="14"/>
      <c r="H196" s="71">
        <v>8.2200000000000006</v>
      </c>
      <c r="I196" s="67"/>
      <c r="J196" s="24"/>
      <c r="K196" s="45" t="s">
        <v>250</v>
      </c>
      <c r="L196" t="s">
        <v>756</v>
      </c>
      <c r="M196" s="32" t="s">
        <v>399</v>
      </c>
      <c r="N196" s="34" t="s">
        <v>402</v>
      </c>
      <c r="O196" s="34"/>
      <c r="P196" s="31"/>
    </row>
    <row r="197" spans="1:20" x14ac:dyDescent="0.35">
      <c r="A197" s="43">
        <v>44103</v>
      </c>
      <c r="B197" s="14" t="s">
        <v>227</v>
      </c>
      <c r="C197" s="14"/>
      <c r="D197" s="16"/>
      <c r="E197" s="14"/>
      <c r="F197" s="14"/>
      <c r="G197" s="14">
        <v>6800</v>
      </c>
      <c r="H197" s="71"/>
      <c r="I197" s="67"/>
      <c r="J197" s="24"/>
      <c r="K197" s="45" t="s">
        <v>249</v>
      </c>
      <c r="L197" t="s">
        <v>756</v>
      </c>
      <c r="M197" s="32" t="s">
        <v>397</v>
      </c>
      <c r="N197" s="34" t="s">
        <v>398</v>
      </c>
      <c r="O197" s="34"/>
      <c r="P197" s="31"/>
    </row>
    <row r="198" spans="1:20" x14ac:dyDescent="0.35">
      <c r="A198" s="43">
        <v>44077</v>
      </c>
      <c r="B198" s="14" t="s">
        <v>62</v>
      </c>
      <c r="C198" s="14" t="s">
        <v>63</v>
      </c>
      <c r="D198" s="16">
        <f>F198*E198*0.0025</f>
        <v>60.6</v>
      </c>
      <c r="E198" s="14">
        <v>8.08</v>
      </c>
      <c r="F198" s="14">
        <v>3000</v>
      </c>
      <c r="G198" s="14"/>
      <c r="H198" s="71">
        <v>8.2650000000000006</v>
      </c>
      <c r="I198" s="67"/>
      <c r="J198" s="24"/>
      <c r="K198" s="45" t="s">
        <v>244</v>
      </c>
      <c r="L198" t="s">
        <v>756</v>
      </c>
      <c r="M198" s="32" t="s">
        <v>395</v>
      </c>
      <c r="N198" s="34" t="s">
        <v>396</v>
      </c>
      <c r="O198" s="34"/>
      <c r="P198" s="31"/>
    </row>
    <row r="199" spans="1:20" x14ac:dyDescent="0.35">
      <c r="A199" s="43">
        <v>44077</v>
      </c>
      <c r="B199" s="14" t="s">
        <v>90</v>
      </c>
      <c r="C199" s="14" t="s">
        <v>229</v>
      </c>
      <c r="D199" s="16">
        <f>-F199*E199*0.0035</f>
        <v>69.3</v>
      </c>
      <c r="E199" s="14">
        <v>19.8</v>
      </c>
      <c r="F199" s="14">
        <v>-1000</v>
      </c>
      <c r="G199" s="14"/>
      <c r="H199" s="71"/>
      <c r="I199" s="67"/>
      <c r="J199" s="24"/>
      <c r="K199" s="45"/>
      <c r="L199" t="s">
        <v>756</v>
      </c>
      <c r="M199" s="32" t="s">
        <v>393</v>
      </c>
      <c r="N199" s="34" t="s">
        <v>394</v>
      </c>
      <c r="O199" s="34"/>
      <c r="P199" s="31"/>
    </row>
    <row r="200" spans="1:20" x14ac:dyDescent="0.35">
      <c r="A200" s="43">
        <v>44071</v>
      </c>
      <c r="B200" s="14" t="s">
        <v>62</v>
      </c>
      <c r="C200" s="14" t="s">
        <v>63</v>
      </c>
      <c r="D200" s="16">
        <f>F200*E200*0.0025</f>
        <v>97.256250000000009</v>
      </c>
      <c r="E200" s="14">
        <v>8.19</v>
      </c>
      <c r="F200" s="14">
        <v>4750</v>
      </c>
      <c r="G200" s="14"/>
      <c r="H200" s="71"/>
      <c r="I200" s="67"/>
      <c r="J200" s="24"/>
      <c r="K200" s="45" t="s">
        <v>241</v>
      </c>
      <c r="L200" t="s">
        <v>756</v>
      </c>
      <c r="M200" s="32" t="s">
        <v>388</v>
      </c>
      <c r="N200" s="34" t="s">
        <v>389</v>
      </c>
      <c r="O200" s="34"/>
      <c r="P200" s="31"/>
    </row>
    <row r="201" spans="1:20" x14ac:dyDescent="0.35">
      <c r="A201" s="43">
        <v>44071</v>
      </c>
      <c r="B201" s="14" t="s">
        <v>62</v>
      </c>
      <c r="C201" s="14" t="s">
        <v>63</v>
      </c>
      <c r="D201" s="16">
        <f>F201*E201*0.0025</f>
        <v>14.349999999999998</v>
      </c>
      <c r="E201" s="14">
        <v>8.1999999999999993</v>
      </c>
      <c r="F201" s="14">
        <v>700</v>
      </c>
      <c r="G201" s="14">
        <v>4200</v>
      </c>
      <c r="H201" s="71"/>
      <c r="I201" s="67"/>
      <c r="J201" s="24"/>
      <c r="K201" s="45" t="s">
        <v>239</v>
      </c>
      <c r="L201" t="s">
        <v>756</v>
      </c>
      <c r="M201" s="32" t="s">
        <v>385</v>
      </c>
      <c r="N201" s="34" t="s">
        <v>386</v>
      </c>
      <c r="O201" s="34"/>
      <c r="P201" s="31"/>
    </row>
    <row r="202" spans="1:20" x14ac:dyDescent="0.35">
      <c r="A202" s="43">
        <v>44071</v>
      </c>
      <c r="B202" s="14" t="s">
        <v>90</v>
      </c>
      <c r="C202" s="14" t="s">
        <v>229</v>
      </c>
      <c r="D202" s="16">
        <f>-F202*E202*0.0035</f>
        <v>27.3</v>
      </c>
      <c r="E202" s="14">
        <v>19.5</v>
      </c>
      <c r="F202" s="14">
        <v>-400</v>
      </c>
      <c r="G202" s="14"/>
      <c r="H202" s="71"/>
      <c r="I202" s="67"/>
      <c r="J202" s="24"/>
      <c r="K202" s="45"/>
      <c r="L202" t="s">
        <v>756</v>
      </c>
      <c r="M202" s="62" t="s">
        <v>383</v>
      </c>
      <c r="N202" s="34" t="s">
        <v>384</v>
      </c>
      <c r="O202" s="34"/>
      <c r="P202" s="31"/>
    </row>
    <row r="203" spans="1:20" x14ac:dyDescent="0.35">
      <c r="A203" s="43">
        <v>44071</v>
      </c>
      <c r="B203" s="14" t="s">
        <v>90</v>
      </c>
      <c r="C203" s="14" t="s">
        <v>232</v>
      </c>
      <c r="D203" s="16">
        <f>-F203*E203*0.0035</f>
        <v>121.73</v>
      </c>
      <c r="E203" s="14">
        <v>7.4</v>
      </c>
      <c r="F203" s="14">
        <v>-4700</v>
      </c>
      <c r="G203" s="14"/>
      <c r="H203" s="71"/>
      <c r="I203" s="67"/>
      <c r="J203" s="24"/>
      <c r="K203" s="45" t="s">
        <v>240</v>
      </c>
      <c r="L203" t="s">
        <v>756</v>
      </c>
      <c r="M203" s="32" t="s">
        <v>380</v>
      </c>
      <c r="N203" s="34" t="s">
        <v>381</v>
      </c>
      <c r="O203" s="34"/>
      <c r="P203" s="31"/>
    </row>
    <row r="204" spans="1:20" x14ac:dyDescent="0.35">
      <c r="A204" s="43">
        <v>44069</v>
      </c>
      <c r="B204" s="14" t="s">
        <v>62</v>
      </c>
      <c r="C204" s="14" t="s">
        <v>63</v>
      </c>
      <c r="D204" s="16">
        <f>F204*E204*0.0025</f>
        <v>42.9</v>
      </c>
      <c r="E204" s="14">
        <v>8.58</v>
      </c>
      <c r="F204" s="14">
        <v>2000</v>
      </c>
      <c r="G204" s="14"/>
      <c r="H204" s="71"/>
      <c r="I204" s="67"/>
      <c r="J204" s="24"/>
      <c r="K204" s="45" t="s">
        <v>238</v>
      </c>
      <c r="L204" t="s">
        <v>756</v>
      </c>
      <c r="M204" s="32" t="s">
        <v>378</v>
      </c>
      <c r="N204" s="34" t="s">
        <v>379</v>
      </c>
      <c r="O204" s="34"/>
      <c r="P204" s="31"/>
    </row>
    <row r="205" spans="1:20" x14ac:dyDescent="0.35">
      <c r="A205" s="43">
        <v>44069</v>
      </c>
      <c r="B205" s="14" t="s">
        <v>62</v>
      </c>
      <c r="C205" s="14" t="s">
        <v>63</v>
      </c>
      <c r="D205" s="16">
        <f>F205*E205*0.0025</f>
        <v>21.5</v>
      </c>
      <c r="E205" s="14">
        <v>8.6</v>
      </c>
      <c r="F205" s="14">
        <v>1000</v>
      </c>
      <c r="G205" s="14"/>
      <c r="H205" s="71"/>
      <c r="I205" s="67"/>
      <c r="J205" s="24"/>
      <c r="K205" s="45" t="s">
        <v>237</v>
      </c>
      <c r="L205" t="s">
        <v>756</v>
      </c>
      <c r="M205" s="32" t="s">
        <v>375</v>
      </c>
      <c r="N205" s="34" t="s">
        <v>376</v>
      </c>
      <c r="O205" s="34"/>
      <c r="P205" s="31"/>
    </row>
    <row r="206" spans="1:20" x14ac:dyDescent="0.35">
      <c r="A206" s="43">
        <v>44069</v>
      </c>
      <c r="B206" s="14" t="s">
        <v>90</v>
      </c>
      <c r="C206" s="14" t="s">
        <v>229</v>
      </c>
      <c r="D206" s="16">
        <f>-F206*E206*0.0035</f>
        <v>6.58</v>
      </c>
      <c r="E206" s="14">
        <v>18.8</v>
      </c>
      <c r="F206" s="14">
        <v>-100</v>
      </c>
      <c r="G206" s="14">
        <v>30100</v>
      </c>
      <c r="H206" s="71"/>
      <c r="I206" s="67"/>
      <c r="J206" s="24"/>
      <c r="K206" s="45" t="s">
        <v>236</v>
      </c>
      <c r="L206" t="s">
        <v>756</v>
      </c>
      <c r="M206" s="32" t="s">
        <v>371</v>
      </c>
      <c r="N206" s="34" t="s">
        <v>373</v>
      </c>
      <c r="O206" s="34"/>
      <c r="P206" s="31"/>
      <c r="T206" s="31"/>
    </row>
    <row r="207" spans="1:20" x14ac:dyDescent="0.35">
      <c r="A207" s="43">
        <v>44068</v>
      </c>
      <c r="B207" s="14" t="s">
        <v>62</v>
      </c>
      <c r="C207" s="14" t="s">
        <v>63</v>
      </c>
      <c r="D207" s="16">
        <f>F207*E207*0.0025</f>
        <v>1.0049999999999999</v>
      </c>
      <c r="E207" s="14">
        <v>8.0399999999999991</v>
      </c>
      <c r="F207" s="14">
        <v>50</v>
      </c>
      <c r="G207" s="14"/>
      <c r="H207" s="71"/>
      <c r="I207" s="67"/>
      <c r="J207" s="24"/>
      <c r="K207" s="45" t="s">
        <v>235</v>
      </c>
      <c r="L207" t="s">
        <v>756</v>
      </c>
      <c r="M207" s="32" t="s">
        <v>369</v>
      </c>
      <c r="N207" s="34" t="s">
        <v>370</v>
      </c>
      <c r="O207" s="34"/>
      <c r="P207" s="31"/>
      <c r="T207" s="31"/>
    </row>
    <row r="208" spans="1:20" x14ac:dyDescent="0.35">
      <c r="A208" s="43">
        <v>44068</v>
      </c>
      <c r="B208" s="14" t="s">
        <v>62</v>
      </c>
      <c r="C208" s="14" t="s">
        <v>232</v>
      </c>
      <c r="D208" s="16">
        <f>F208*E208*0.0025</f>
        <v>76.650000000000006</v>
      </c>
      <c r="E208" s="14">
        <v>7.3</v>
      </c>
      <c r="F208" s="14">
        <v>4200</v>
      </c>
      <c r="G208" s="14"/>
      <c r="H208" s="71"/>
      <c r="I208" s="67"/>
      <c r="J208" s="24"/>
      <c r="K208" s="45" t="s">
        <v>234</v>
      </c>
      <c r="L208" t="s">
        <v>756</v>
      </c>
      <c r="M208" s="32" t="s">
        <v>365</v>
      </c>
      <c r="N208" s="34" t="s">
        <v>368</v>
      </c>
      <c r="O208" s="34"/>
      <c r="P208" s="31"/>
    </row>
    <row r="209" spans="1:16" x14ac:dyDescent="0.35">
      <c r="A209" s="43">
        <v>44067</v>
      </c>
      <c r="B209" s="14" t="s">
        <v>62</v>
      </c>
      <c r="C209" s="14" t="s">
        <v>232</v>
      </c>
      <c r="D209" s="16">
        <f>F209*E209*0.0025</f>
        <v>8.875</v>
      </c>
      <c r="E209" s="14">
        <v>7.1</v>
      </c>
      <c r="F209" s="14">
        <v>500</v>
      </c>
      <c r="G209" s="14"/>
      <c r="H209" s="71"/>
      <c r="I209" s="67"/>
      <c r="J209" s="24"/>
      <c r="K209" s="45" t="s">
        <v>233</v>
      </c>
      <c r="L209" t="s">
        <v>756</v>
      </c>
      <c r="M209" s="32" t="s">
        <v>363</v>
      </c>
      <c r="N209" s="34" t="s">
        <v>364</v>
      </c>
      <c r="O209" s="34"/>
      <c r="P209" s="31"/>
    </row>
    <row r="210" spans="1:16" x14ac:dyDescent="0.35">
      <c r="A210" s="43">
        <v>44067</v>
      </c>
      <c r="B210" s="14" t="s">
        <v>62</v>
      </c>
      <c r="C210" s="14" t="s">
        <v>229</v>
      </c>
      <c r="D210" s="16">
        <f>F210*E210*0.0025</f>
        <v>64.75</v>
      </c>
      <c r="E210" s="14">
        <v>18.5</v>
      </c>
      <c r="F210" s="14">
        <v>1400</v>
      </c>
      <c r="G210" s="14">
        <v>30000</v>
      </c>
      <c r="H210" s="71"/>
      <c r="I210" s="67"/>
      <c r="J210" s="24"/>
      <c r="K210" s="45" t="s">
        <v>231</v>
      </c>
      <c r="L210" t="s">
        <v>756</v>
      </c>
      <c r="M210" s="32" t="s">
        <v>357</v>
      </c>
      <c r="N210" s="34" t="s">
        <v>358</v>
      </c>
      <c r="O210" s="34"/>
      <c r="P210" s="31"/>
    </row>
    <row r="211" spans="1:16" x14ac:dyDescent="0.35">
      <c r="A211" s="43">
        <v>44057</v>
      </c>
      <c r="B211" s="14" t="s">
        <v>62</v>
      </c>
      <c r="C211" s="14" t="s">
        <v>229</v>
      </c>
      <c r="D211" s="16">
        <f>F211*E211*0.0025</f>
        <v>4.625</v>
      </c>
      <c r="E211" s="14">
        <v>18.5</v>
      </c>
      <c r="F211" s="14">
        <v>100</v>
      </c>
      <c r="G211" s="14"/>
      <c r="H211" s="71"/>
      <c r="I211" s="67"/>
      <c r="J211" s="24"/>
      <c r="K211" s="45" t="s">
        <v>230</v>
      </c>
      <c r="L211" t="s">
        <v>756</v>
      </c>
      <c r="M211" s="32" t="s">
        <v>354</v>
      </c>
      <c r="N211" s="34" t="s">
        <v>355</v>
      </c>
      <c r="O211" s="34"/>
      <c r="P211" s="31"/>
    </row>
    <row r="212" spans="1:16" x14ac:dyDescent="0.35">
      <c r="A212" s="43">
        <v>44055</v>
      </c>
      <c r="B212" t="s">
        <v>90</v>
      </c>
      <c r="C212" s="14" t="s">
        <v>189</v>
      </c>
      <c r="D212" s="16">
        <f>-F212*E212*0.0035</f>
        <v>6.4399999999999995</v>
      </c>
      <c r="E212" s="14">
        <v>9.1999999999999993</v>
      </c>
      <c r="F212" s="14">
        <v>-200</v>
      </c>
      <c r="G212" s="14"/>
      <c r="H212" s="71"/>
      <c r="I212" s="67"/>
      <c r="J212" s="24"/>
      <c r="K212" s="45" t="s">
        <v>228</v>
      </c>
      <c r="L212" t="s">
        <v>756</v>
      </c>
      <c r="M212" s="32" t="s">
        <v>339</v>
      </c>
      <c r="N212" s="34" t="s">
        <v>340</v>
      </c>
      <c r="O212" s="34"/>
      <c r="P212" s="31"/>
    </row>
    <row r="213" spans="1:16" x14ac:dyDescent="0.35">
      <c r="A213" s="43">
        <v>44055</v>
      </c>
      <c r="B213" s="14" t="s">
        <v>226</v>
      </c>
      <c r="C213" s="14"/>
      <c r="D213" s="16"/>
      <c r="E213" s="14"/>
      <c r="F213" s="14"/>
      <c r="G213" s="14">
        <v>-90000</v>
      </c>
      <c r="H213" s="71"/>
      <c r="I213" s="67"/>
      <c r="J213" s="24"/>
      <c r="K213" s="45"/>
      <c r="L213" t="s">
        <v>756</v>
      </c>
      <c r="M213" s="32" t="s">
        <v>335</v>
      </c>
      <c r="N213" s="34" t="s">
        <v>336</v>
      </c>
      <c r="O213" s="34"/>
      <c r="P213" s="31"/>
    </row>
    <row r="214" spans="1:16" x14ac:dyDescent="0.35">
      <c r="A214" s="43">
        <v>44053</v>
      </c>
      <c r="B214" t="s">
        <v>90</v>
      </c>
      <c r="C214" s="14" t="s">
        <v>189</v>
      </c>
      <c r="D214" s="16">
        <f>-F214*E214*0.0035</f>
        <v>317.99669999999998</v>
      </c>
      <c r="E214" s="14">
        <v>9.2899999999999991</v>
      </c>
      <c r="F214" s="14">
        <v>-9780</v>
      </c>
      <c r="G214" s="14"/>
      <c r="H214" s="71">
        <v>9.2799999999999994</v>
      </c>
      <c r="I214" s="67"/>
      <c r="J214" s="24"/>
      <c r="K214" s="45" t="s">
        <v>225</v>
      </c>
      <c r="L214" t="s">
        <v>756</v>
      </c>
      <c r="M214" s="32" t="s">
        <v>333</v>
      </c>
      <c r="N214" s="34" t="s">
        <v>334</v>
      </c>
      <c r="O214" s="34"/>
      <c r="P214" s="31"/>
    </row>
    <row r="215" spans="1:16" x14ac:dyDescent="0.35">
      <c r="A215" s="43">
        <v>44050</v>
      </c>
      <c r="B215" s="14" t="s">
        <v>62</v>
      </c>
      <c r="C215" s="14" t="s">
        <v>189</v>
      </c>
      <c r="D215" s="16">
        <f>F215*E215*0.0025</f>
        <v>4.9995000000000003</v>
      </c>
      <c r="E215" s="14">
        <v>9.09</v>
      </c>
      <c r="F215" s="14">
        <v>220</v>
      </c>
      <c r="G215" s="14"/>
      <c r="H215" s="71">
        <f>8.89+0.06</f>
        <v>8.9500000000000011</v>
      </c>
      <c r="I215" s="67"/>
      <c r="J215" s="24"/>
      <c r="K215" s="45" t="s">
        <v>222</v>
      </c>
      <c r="L215" t="s">
        <v>756</v>
      </c>
      <c r="M215" s="32" t="s">
        <v>327</v>
      </c>
      <c r="N215" s="34" t="s">
        <v>328</v>
      </c>
      <c r="O215" s="34"/>
      <c r="P215" s="31"/>
    </row>
    <row r="216" spans="1:16" x14ac:dyDescent="0.35">
      <c r="A216" s="43">
        <v>44050</v>
      </c>
      <c r="B216" s="14" t="s">
        <v>227</v>
      </c>
      <c r="C216" s="14"/>
      <c r="D216" s="16"/>
      <c r="E216" s="14"/>
      <c r="F216" s="14"/>
      <c r="G216" s="14">
        <v>1900</v>
      </c>
      <c r="H216" s="71"/>
      <c r="I216" s="67"/>
      <c r="J216" s="24"/>
      <c r="K216" s="45"/>
      <c r="L216" t="s">
        <v>756</v>
      </c>
      <c r="M216" s="32" t="s">
        <v>324</v>
      </c>
      <c r="N216" s="34" t="s">
        <v>325</v>
      </c>
      <c r="O216" s="34"/>
      <c r="P216" s="31"/>
    </row>
    <row r="217" spans="1:16" x14ac:dyDescent="0.35">
      <c r="A217" s="43">
        <v>44047</v>
      </c>
      <c r="B217" s="14" t="s">
        <v>62</v>
      </c>
      <c r="C217" s="14" t="s">
        <v>189</v>
      </c>
      <c r="D217" s="16">
        <f>F217*E217*0.0025</f>
        <v>61.5075</v>
      </c>
      <c r="E217" s="14">
        <v>8.85</v>
      </c>
      <c r="F217" s="14">
        <v>2780</v>
      </c>
      <c r="G217" s="14"/>
      <c r="H217" s="71">
        <v>8.89</v>
      </c>
      <c r="I217" s="67"/>
      <c r="J217" s="24"/>
      <c r="K217" s="45" t="s">
        <v>217</v>
      </c>
      <c r="L217" t="s">
        <v>756</v>
      </c>
      <c r="M217" s="32" t="s">
        <v>317</v>
      </c>
      <c r="N217" s="34" t="s">
        <v>322</v>
      </c>
      <c r="O217" s="34"/>
      <c r="P217" s="31"/>
    </row>
    <row r="218" spans="1:16" x14ac:dyDescent="0.35">
      <c r="A218" s="43">
        <v>44047</v>
      </c>
      <c r="B218" s="14" t="s">
        <v>62</v>
      </c>
      <c r="C218" s="14" t="s">
        <v>189</v>
      </c>
      <c r="D218" s="16">
        <f>F218*E218*0.0025</f>
        <v>155.75</v>
      </c>
      <c r="E218" s="14">
        <v>8.9</v>
      </c>
      <c r="F218" s="14">
        <v>7000</v>
      </c>
      <c r="G218" s="14"/>
      <c r="H218" s="71"/>
      <c r="I218" s="67"/>
      <c r="J218" s="24"/>
      <c r="K218" s="45" t="s">
        <v>220</v>
      </c>
      <c r="L218" t="s">
        <v>756</v>
      </c>
      <c r="M218" s="32" t="s">
        <v>313</v>
      </c>
      <c r="N218" s="34" t="s">
        <v>314</v>
      </c>
      <c r="O218" s="34"/>
      <c r="P218" s="31"/>
    </row>
    <row r="219" spans="1:16" x14ac:dyDescent="0.35">
      <c r="A219" s="43">
        <v>44047</v>
      </c>
      <c r="B219" s="14" t="s">
        <v>227</v>
      </c>
      <c r="C219" s="14"/>
      <c r="D219" s="16"/>
      <c r="E219" s="14"/>
      <c r="F219" s="14"/>
      <c r="G219" s="14">
        <v>7200</v>
      </c>
      <c r="H219" s="71"/>
      <c r="I219" s="67"/>
      <c r="J219" s="24"/>
      <c r="K219" s="45"/>
      <c r="L219" t="s">
        <v>756</v>
      </c>
      <c r="M219" s="32" t="s">
        <v>309</v>
      </c>
      <c r="N219" s="34" t="s">
        <v>310</v>
      </c>
      <c r="O219" s="34"/>
      <c r="P219" s="31"/>
    </row>
    <row r="220" spans="1:16" x14ac:dyDescent="0.35">
      <c r="A220" s="43">
        <v>44042</v>
      </c>
      <c r="B220" s="14" t="s">
        <v>90</v>
      </c>
      <c r="C220" s="14" t="s">
        <v>189</v>
      </c>
      <c r="D220" s="16">
        <f>-F220*E220*0.0035</f>
        <v>88.724999999999994</v>
      </c>
      <c r="E220" s="14">
        <v>8.4499999999999993</v>
      </c>
      <c r="F220" s="14">
        <v>-3000</v>
      </c>
      <c r="G220" s="14"/>
      <c r="H220" s="71"/>
      <c r="I220" s="67"/>
      <c r="J220" s="24"/>
      <c r="K220" s="45">
        <f>E220*-F220-E221*F221-D220-D221</f>
        <v>900.52499999999634</v>
      </c>
      <c r="L220" t="s">
        <v>756</v>
      </c>
      <c r="M220" s="32" t="s">
        <v>307</v>
      </c>
      <c r="N220" s="34" t="s">
        <v>308</v>
      </c>
      <c r="O220" s="34"/>
      <c r="P220" s="31"/>
    </row>
    <row r="221" spans="1:16" x14ac:dyDescent="0.35">
      <c r="A221" s="43">
        <v>44039</v>
      </c>
      <c r="B221" s="14" t="s">
        <v>62</v>
      </c>
      <c r="C221" s="14" t="s">
        <v>189</v>
      </c>
      <c r="D221" s="16">
        <f>F221*E221*0.0025</f>
        <v>60.75</v>
      </c>
      <c r="E221" s="14">
        <v>8.1</v>
      </c>
      <c r="F221" s="14">
        <v>3000</v>
      </c>
      <c r="G221" s="14"/>
      <c r="H221" s="71"/>
      <c r="I221" s="67"/>
      <c r="J221" s="24"/>
      <c r="K221" s="45" t="s">
        <v>213</v>
      </c>
      <c r="L221" t="s">
        <v>756</v>
      </c>
      <c r="M221" s="32" t="s">
        <v>302</v>
      </c>
      <c r="N221" s="34" t="s">
        <v>305</v>
      </c>
      <c r="O221" s="34"/>
      <c r="P221" s="31"/>
    </row>
    <row r="222" spans="1:16" x14ac:dyDescent="0.35">
      <c r="A222" s="43">
        <v>44036</v>
      </c>
      <c r="B222" s="14" t="s">
        <v>90</v>
      </c>
      <c r="C222" s="14" t="s">
        <v>206</v>
      </c>
      <c r="D222" s="16">
        <f>-F222*E222*0.0035</f>
        <v>16.940000000000001</v>
      </c>
      <c r="E222" s="14">
        <v>24.2</v>
      </c>
      <c r="F222" s="14">
        <v>-200</v>
      </c>
      <c r="G222" s="14"/>
      <c r="H222" s="71"/>
      <c r="I222" s="67"/>
      <c r="J222" s="24"/>
      <c r="K222" s="45" t="s">
        <v>210</v>
      </c>
      <c r="L222" t="s">
        <v>756</v>
      </c>
      <c r="M222" s="32" t="s">
        <v>296</v>
      </c>
      <c r="N222" s="34" t="s">
        <v>300</v>
      </c>
      <c r="O222" s="34"/>
      <c r="P222" s="31"/>
    </row>
    <row r="223" spans="1:16" x14ac:dyDescent="0.35">
      <c r="A223" s="43">
        <v>44036</v>
      </c>
      <c r="B223" s="14" t="s">
        <v>90</v>
      </c>
      <c r="C223" s="14" t="s">
        <v>207</v>
      </c>
      <c r="D223" s="16">
        <f>-F223*E223*0.0035</f>
        <v>12.285</v>
      </c>
      <c r="E223" s="14">
        <v>7.02</v>
      </c>
      <c r="F223" s="14">
        <v>-500</v>
      </c>
      <c r="G223" s="14"/>
      <c r="H223" s="71"/>
      <c r="I223" s="67"/>
      <c r="J223" s="24"/>
      <c r="K223" s="47" t="s">
        <v>211</v>
      </c>
      <c r="L223" t="s">
        <v>756</v>
      </c>
      <c r="M223" s="32" t="s">
        <v>299</v>
      </c>
      <c r="N223" s="34" t="s">
        <v>297</v>
      </c>
      <c r="O223" s="34"/>
      <c r="P223" s="31"/>
    </row>
    <row r="224" spans="1:16" x14ac:dyDescent="0.35">
      <c r="A224" s="43">
        <v>44036</v>
      </c>
      <c r="B224" s="14" t="s">
        <v>90</v>
      </c>
      <c r="C224" s="14" t="s">
        <v>189</v>
      </c>
      <c r="D224" s="16">
        <f>-F224*E224*0.0035</f>
        <v>31.675000000000001</v>
      </c>
      <c r="E224" s="14">
        <v>9.0500000000000007</v>
      </c>
      <c r="F224" s="14">
        <v>-1000</v>
      </c>
      <c r="G224" s="14"/>
      <c r="H224" s="71"/>
      <c r="I224" s="67"/>
      <c r="J224" s="24"/>
      <c r="K224" s="45"/>
      <c r="L224" t="s">
        <v>756</v>
      </c>
      <c r="M224" s="32" t="s">
        <v>277</v>
      </c>
      <c r="N224" s="33"/>
      <c r="O224" s="34" t="s">
        <v>291</v>
      </c>
      <c r="P224" s="31"/>
    </row>
    <row r="225" spans="1:17" x14ac:dyDescent="0.35">
      <c r="A225" s="43">
        <v>44033</v>
      </c>
      <c r="B225" s="14" t="s">
        <v>62</v>
      </c>
      <c r="C225" s="14" t="s">
        <v>206</v>
      </c>
      <c r="D225" s="16">
        <f>F225*E225*0.0025</f>
        <v>12.325000000000001</v>
      </c>
      <c r="E225" s="14">
        <v>24.65</v>
      </c>
      <c r="F225" s="14">
        <v>200</v>
      </c>
      <c r="G225" s="14"/>
      <c r="H225" s="71"/>
      <c r="I225" s="67"/>
      <c r="J225" s="24"/>
      <c r="K225" s="45"/>
      <c r="L225" t="s">
        <v>756</v>
      </c>
      <c r="M225" s="32" t="s">
        <v>259</v>
      </c>
      <c r="N225" s="33"/>
      <c r="O225" s="34" t="s">
        <v>260</v>
      </c>
      <c r="P225" s="31"/>
    </row>
    <row r="226" spans="1:17" x14ac:dyDescent="0.35">
      <c r="A226" s="43">
        <v>44033</v>
      </c>
      <c r="B226" s="14" t="s">
        <v>62</v>
      </c>
      <c r="C226" s="14" t="s">
        <v>207</v>
      </c>
      <c r="D226" s="16">
        <f>F226*E226*0.0025</f>
        <v>8.8375000000000004</v>
      </c>
      <c r="E226" s="14">
        <v>7.07</v>
      </c>
      <c r="F226" s="14">
        <v>500</v>
      </c>
      <c r="G226" s="14"/>
      <c r="H226" s="71"/>
      <c r="I226" s="67"/>
      <c r="J226" s="24"/>
      <c r="K226" s="45"/>
      <c r="L226" t="s">
        <v>756</v>
      </c>
      <c r="M226" s="32" t="s">
        <v>257</v>
      </c>
      <c r="N226" s="33"/>
      <c r="O226" s="34" t="s">
        <v>256</v>
      </c>
      <c r="P226" s="31"/>
    </row>
    <row r="227" spans="1:17" x14ac:dyDescent="0.35">
      <c r="A227" s="43">
        <v>44033</v>
      </c>
      <c r="B227" s="14" t="s">
        <v>62</v>
      </c>
      <c r="C227" s="14" t="s">
        <v>189</v>
      </c>
      <c r="D227" s="16">
        <f>F227*E227*0.0025</f>
        <v>22.725000000000001</v>
      </c>
      <c r="E227" s="14">
        <v>9.09</v>
      </c>
      <c r="F227" s="14">
        <v>1000</v>
      </c>
      <c r="G227" s="14"/>
      <c r="H227" s="71"/>
      <c r="I227" s="67"/>
      <c r="J227" s="24"/>
      <c r="K227" s="45" t="s">
        <v>209</v>
      </c>
      <c r="L227" t="s">
        <v>756</v>
      </c>
      <c r="M227" s="32" t="s">
        <v>251</v>
      </c>
      <c r="N227" s="33"/>
      <c r="O227" s="34" t="s">
        <v>252</v>
      </c>
      <c r="P227" s="31"/>
    </row>
    <row r="228" spans="1:17" x14ac:dyDescent="0.35">
      <c r="A228" s="43">
        <v>44026</v>
      </c>
      <c r="B228" s="14" t="s">
        <v>90</v>
      </c>
      <c r="C228" s="14" t="s">
        <v>189</v>
      </c>
      <c r="D228" s="16">
        <f>-F228*E228*0.0035</f>
        <v>260.68</v>
      </c>
      <c r="E228" s="14">
        <v>9.31</v>
      </c>
      <c r="F228" s="14">
        <v>-8000</v>
      </c>
      <c r="G228" s="14"/>
      <c r="H228" s="71"/>
      <c r="I228" s="67"/>
      <c r="J228" s="24"/>
      <c r="K228" s="45" t="s">
        <v>205</v>
      </c>
      <c r="L228" t="s">
        <v>756</v>
      </c>
      <c r="M228" s="32" t="s">
        <v>247</v>
      </c>
      <c r="N228" s="33"/>
      <c r="O228" s="34" t="s">
        <v>248</v>
      </c>
      <c r="P228" s="31"/>
    </row>
    <row r="229" spans="1:17" x14ac:dyDescent="0.35">
      <c r="A229" s="43">
        <v>44008</v>
      </c>
      <c r="B229" s="14" t="s">
        <v>90</v>
      </c>
      <c r="C229" s="14" t="s">
        <v>189</v>
      </c>
      <c r="D229" s="16">
        <f>-F229*E229*0.0035</f>
        <v>61.53</v>
      </c>
      <c r="E229" s="14">
        <v>8.7899999999999991</v>
      </c>
      <c r="F229" s="14">
        <v>-2000</v>
      </c>
      <c r="G229" s="14"/>
      <c r="H229" s="71"/>
      <c r="I229" s="67"/>
      <c r="J229" s="24"/>
      <c r="K229" s="47" t="s">
        <v>191</v>
      </c>
      <c r="L229" t="s">
        <v>756</v>
      </c>
      <c r="M229" s="32" t="s">
        <v>245</v>
      </c>
      <c r="N229" s="33"/>
      <c r="O229" s="34" t="s">
        <v>246</v>
      </c>
      <c r="P229" s="31"/>
    </row>
    <row r="230" spans="1:17" x14ac:dyDescent="0.35">
      <c r="A230" s="43">
        <v>44004</v>
      </c>
      <c r="B230" s="14" t="s">
        <v>62</v>
      </c>
      <c r="C230" s="14" t="s">
        <v>189</v>
      </c>
      <c r="D230" s="16">
        <f>F230*E230*0.0025</f>
        <v>210</v>
      </c>
      <c r="E230" s="14">
        <v>8.4</v>
      </c>
      <c r="F230" s="14">
        <v>10000</v>
      </c>
      <c r="G230" s="14"/>
      <c r="H230" s="71">
        <v>8.4600000000000009</v>
      </c>
      <c r="I230" s="67"/>
      <c r="J230" s="24"/>
      <c r="K230" s="45" t="s">
        <v>190</v>
      </c>
      <c r="L230" t="s">
        <v>756</v>
      </c>
      <c r="M230" s="32" t="s">
        <v>242</v>
      </c>
      <c r="N230" s="33"/>
      <c r="O230" s="34" t="s">
        <v>243</v>
      </c>
      <c r="P230" s="31"/>
    </row>
    <row r="231" spans="1:17" x14ac:dyDescent="0.35">
      <c r="A231" s="43">
        <v>44004</v>
      </c>
      <c r="B231" s="14" t="s">
        <v>227</v>
      </c>
      <c r="C231" s="14"/>
      <c r="D231" s="16"/>
      <c r="E231" s="14"/>
      <c r="F231" s="14"/>
      <c r="G231" s="14">
        <f>30200+72500</f>
        <v>102700</v>
      </c>
      <c r="H231" s="71"/>
      <c r="I231" s="67"/>
      <c r="J231" s="24"/>
      <c r="K231" s="45" t="s">
        <v>188</v>
      </c>
      <c r="L231" t="s">
        <v>756</v>
      </c>
      <c r="M231" s="32" t="s">
        <v>223</v>
      </c>
      <c r="N231" s="33"/>
      <c r="O231" s="34" t="s">
        <v>224</v>
      </c>
      <c r="P231" s="31"/>
    </row>
    <row r="232" spans="1:17" x14ac:dyDescent="0.35">
      <c r="A232" s="43">
        <v>43978</v>
      </c>
      <c r="B232" s="14" t="s">
        <v>227</v>
      </c>
      <c r="C232" s="14"/>
      <c r="D232" s="16"/>
      <c r="E232" s="14"/>
      <c r="F232" s="14"/>
      <c r="G232" s="14">
        <v>19800</v>
      </c>
      <c r="H232" s="71"/>
      <c r="I232" s="67"/>
      <c r="J232" s="24"/>
      <c r="K232" s="45" t="s">
        <v>184</v>
      </c>
      <c r="L232" t="s">
        <v>756</v>
      </c>
      <c r="M232" s="32" t="s">
        <v>219</v>
      </c>
      <c r="N232" s="33"/>
      <c r="O232" s="34" t="s">
        <v>221</v>
      </c>
      <c r="P232" s="31"/>
    </row>
    <row r="233" spans="1:17" x14ac:dyDescent="0.35">
      <c r="A233" s="43">
        <v>43973</v>
      </c>
      <c r="B233" s="14" t="s">
        <v>226</v>
      </c>
      <c r="C233" s="14"/>
      <c r="D233" s="16"/>
      <c r="E233" s="14"/>
      <c r="F233" s="14"/>
      <c r="G233" s="14">
        <v>-102860</v>
      </c>
      <c r="H233" s="71"/>
      <c r="I233" s="67"/>
      <c r="J233" s="24"/>
      <c r="K233" s="45" t="s">
        <v>183</v>
      </c>
      <c r="L233" t="s">
        <v>756</v>
      </c>
      <c r="M233" s="32" t="s">
        <v>216</v>
      </c>
      <c r="N233" s="33"/>
      <c r="O233" s="34" t="s">
        <v>218</v>
      </c>
      <c r="P233" s="31"/>
    </row>
    <row r="234" spans="1:17" x14ac:dyDescent="0.35">
      <c r="A234" s="43">
        <v>43965</v>
      </c>
      <c r="B234" s="14" t="s">
        <v>90</v>
      </c>
      <c r="C234" s="14" t="s">
        <v>174</v>
      </c>
      <c r="D234" s="16">
        <f>-F234*E234*0.0035</f>
        <v>158.55000000000001</v>
      </c>
      <c r="E234" s="14">
        <v>9.06</v>
      </c>
      <c r="F234" s="14">
        <v>-5000</v>
      </c>
      <c r="G234" s="14"/>
      <c r="H234" s="71"/>
      <c r="I234" s="67"/>
      <c r="J234" s="24"/>
      <c r="K234" s="45" t="s">
        <v>181</v>
      </c>
      <c r="L234" t="s">
        <v>756</v>
      </c>
      <c r="M234" s="32" t="s">
        <v>214</v>
      </c>
      <c r="N234" s="33"/>
      <c r="O234" s="34" t="s">
        <v>215</v>
      </c>
      <c r="P234" s="31"/>
    </row>
    <row r="235" spans="1:17" x14ac:dyDescent="0.35">
      <c r="A235" s="43">
        <v>43965</v>
      </c>
      <c r="B235" s="14" t="s">
        <v>90</v>
      </c>
      <c r="C235" s="14" t="s">
        <v>174</v>
      </c>
      <c r="D235" s="16">
        <f>-F235*E235*0.0035</f>
        <v>183.75</v>
      </c>
      <c r="E235" s="14">
        <v>8.75</v>
      </c>
      <c r="F235" s="14">
        <v>-6000</v>
      </c>
      <c r="G235" s="14"/>
      <c r="H235" s="71"/>
      <c r="I235" s="67"/>
      <c r="J235" s="24"/>
      <c r="K235" s="45" t="s">
        <v>178</v>
      </c>
      <c r="L235" t="s">
        <v>756</v>
      </c>
      <c r="M235" s="32" t="s">
        <v>208</v>
      </c>
      <c r="N235" s="33"/>
      <c r="O235" s="34" t="s">
        <v>212</v>
      </c>
      <c r="P235" s="31"/>
    </row>
    <row r="236" spans="1:17" x14ac:dyDescent="0.35">
      <c r="A236" s="43">
        <v>43956</v>
      </c>
      <c r="B236" s="14" t="s">
        <v>179</v>
      </c>
      <c r="C236" s="14"/>
      <c r="D236" s="16"/>
      <c r="E236" s="14"/>
      <c r="F236" s="14"/>
      <c r="G236" s="14"/>
      <c r="H236" s="71"/>
      <c r="I236" s="67"/>
      <c r="J236" s="24"/>
      <c r="K236" s="45"/>
      <c r="L236" t="s">
        <v>756</v>
      </c>
      <c r="M236" s="32" t="s">
        <v>203</v>
      </c>
      <c r="N236" s="33"/>
      <c r="O236" s="34" t="s">
        <v>204</v>
      </c>
      <c r="P236" s="31"/>
    </row>
    <row r="237" spans="1:17" x14ac:dyDescent="0.35">
      <c r="A237" s="43">
        <v>43955</v>
      </c>
      <c r="B237" s="14" t="s">
        <v>177</v>
      </c>
      <c r="C237" s="14"/>
      <c r="D237" s="16"/>
      <c r="E237" s="14"/>
      <c r="F237" s="14"/>
      <c r="G237" s="14"/>
      <c r="H237" s="71"/>
      <c r="I237" s="67"/>
      <c r="J237" s="24"/>
      <c r="K237" s="45"/>
      <c r="L237" t="s">
        <v>756</v>
      </c>
      <c r="M237" s="32" t="s">
        <v>201</v>
      </c>
      <c r="N237" s="33"/>
      <c r="O237" s="34" t="s">
        <v>202</v>
      </c>
      <c r="P237" s="31"/>
    </row>
    <row r="238" spans="1:17" x14ac:dyDescent="0.35">
      <c r="A238" s="43">
        <v>43949</v>
      </c>
      <c r="B238" s="14" t="s">
        <v>62</v>
      </c>
      <c r="C238" s="14" t="s">
        <v>174</v>
      </c>
      <c r="D238" s="16">
        <f>F238*E238*0.0035</f>
        <v>27.685000000000002</v>
      </c>
      <c r="E238" s="14">
        <v>7.91</v>
      </c>
      <c r="F238" s="14">
        <v>1000</v>
      </c>
      <c r="G238" s="14"/>
      <c r="H238" s="71"/>
      <c r="I238" s="67"/>
      <c r="J238" s="24"/>
      <c r="K238" s="45" t="s">
        <v>176</v>
      </c>
      <c r="L238" t="s">
        <v>756</v>
      </c>
      <c r="M238" s="32" t="s">
        <v>186</v>
      </c>
      <c r="N238" s="33"/>
      <c r="O238" s="34" t="s">
        <v>187</v>
      </c>
      <c r="P238" s="31"/>
    </row>
    <row r="239" spans="1:17" x14ac:dyDescent="0.35">
      <c r="A239" s="43">
        <v>43941</v>
      </c>
      <c r="B239" s="14" t="s">
        <v>62</v>
      </c>
      <c r="C239" s="14" t="s">
        <v>174</v>
      </c>
      <c r="D239" s="16">
        <f>F239*E239*0.0035</f>
        <v>281.75</v>
      </c>
      <c r="E239" s="14">
        <v>8.0500000000000007</v>
      </c>
      <c r="F239" s="14">
        <v>10000</v>
      </c>
      <c r="G239" s="14"/>
      <c r="H239" s="71"/>
      <c r="I239" s="67"/>
      <c r="J239" s="24"/>
      <c r="K239" s="45" t="s">
        <v>175</v>
      </c>
      <c r="L239" t="s">
        <v>756</v>
      </c>
      <c r="M239" s="32" t="s">
        <v>180</v>
      </c>
      <c r="N239" s="33"/>
      <c r="O239" s="34" t="s">
        <v>182</v>
      </c>
      <c r="P239" s="31"/>
      <c r="Q239">
        <f>20000*5</f>
        <v>100000</v>
      </c>
    </row>
    <row r="240" spans="1:17" x14ac:dyDescent="0.35">
      <c r="A240" s="43">
        <v>43938</v>
      </c>
      <c r="B240" s="14" t="s">
        <v>173</v>
      </c>
      <c r="C240" s="14"/>
      <c r="D240" s="16"/>
      <c r="E240" s="14"/>
      <c r="F240" s="14"/>
      <c r="G240" s="14"/>
      <c r="H240" s="71"/>
      <c r="I240" s="67"/>
      <c r="J240" s="24"/>
      <c r="K240" s="45"/>
      <c r="L240" t="s">
        <v>756</v>
      </c>
      <c r="M240" s="32" t="s">
        <v>167</v>
      </c>
      <c r="N240" s="33"/>
      <c r="O240" s="34" t="s">
        <v>168</v>
      </c>
      <c r="P240" s="31"/>
      <c r="Q240">
        <f>20000*5</f>
        <v>100000</v>
      </c>
    </row>
    <row r="241" spans="1:19" x14ac:dyDescent="0.35">
      <c r="A241" s="43">
        <v>43928</v>
      </c>
      <c r="B241" s="14" t="s">
        <v>90</v>
      </c>
      <c r="C241" s="14" t="s">
        <v>63</v>
      </c>
      <c r="D241" s="16">
        <f>-F241*E241*0.0035</f>
        <v>277.43099999999998</v>
      </c>
      <c r="E241" s="14">
        <v>6.6</v>
      </c>
      <c r="F241" s="14">
        <v>-12010</v>
      </c>
      <c r="G241" s="14"/>
      <c r="H241" s="71"/>
      <c r="I241" s="67"/>
      <c r="J241" s="24"/>
      <c r="K241" s="45" t="s">
        <v>172</v>
      </c>
      <c r="L241" t="s">
        <v>756</v>
      </c>
      <c r="M241" s="30" t="s">
        <v>164</v>
      </c>
      <c r="O241" t="s">
        <v>165</v>
      </c>
      <c r="P241" s="31"/>
    </row>
    <row r="242" spans="1:19" x14ac:dyDescent="0.35">
      <c r="A242" s="43">
        <v>43922</v>
      </c>
      <c r="B242" s="14" t="s">
        <v>62</v>
      </c>
      <c r="C242" s="14" t="s">
        <v>63</v>
      </c>
      <c r="D242" s="16">
        <f>F242*E242*0.0025</f>
        <v>28.95</v>
      </c>
      <c r="E242" s="14">
        <v>5.79</v>
      </c>
      <c r="F242" s="14">
        <v>2000</v>
      </c>
      <c r="G242" s="14"/>
      <c r="H242" s="71">
        <v>5.9459999999999997</v>
      </c>
      <c r="I242" s="67"/>
      <c r="J242" s="24"/>
      <c r="K242" s="45" t="s">
        <v>169</v>
      </c>
      <c r="L242" t="s">
        <v>756</v>
      </c>
      <c r="M242" s="30" t="s">
        <v>162</v>
      </c>
      <c r="O242">
        <f>5000*6+5000*5.7+5000*5.3+5000*5</f>
        <v>110000</v>
      </c>
      <c r="S242" s="133"/>
    </row>
    <row r="243" spans="1:19" x14ac:dyDescent="0.35">
      <c r="A243" s="43">
        <v>43921</v>
      </c>
      <c r="B243" s="14" t="s">
        <v>62</v>
      </c>
      <c r="C243" s="14" t="s">
        <v>63</v>
      </c>
      <c r="D243" s="16">
        <f>F243*E243*0.0025</f>
        <v>74.750000000000014</v>
      </c>
      <c r="E243" s="14">
        <v>5.98</v>
      </c>
      <c r="F243" s="14">
        <v>5000</v>
      </c>
      <c r="G243" s="14"/>
      <c r="H243" s="71">
        <v>5.9779999999999998</v>
      </c>
      <c r="I243" s="67"/>
      <c r="J243" s="24"/>
      <c r="K243" s="45" t="s">
        <v>166</v>
      </c>
      <c r="L243" t="s">
        <v>756</v>
      </c>
      <c r="M243" s="29" t="s">
        <v>157</v>
      </c>
      <c r="O243">
        <f>5000*6.5+5000*6+5000*5.5+5000*5</f>
        <v>115000</v>
      </c>
      <c r="S243" s="133"/>
    </row>
    <row r="244" spans="1:19" x14ac:dyDescent="0.35">
      <c r="A244" s="43">
        <v>43920</v>
      </c>
      <c r="B244" s="14" t="s">
        <v>62</v>
      </c>
      <c r="C244" s="14" t="s">
        <v>63</v>
      </c>
      <c r="D244" s="16">
        <f>F244*E244*0.0025</f>
        <v>74.750000000000014</v>
      </c>
      <c r="E244" s="14">
        <v>5.98</v>
      </c>
      <c r="F244" s="14">
        <v>5000</v>
      </c>
      <c r="G244" s="14"/>
      <c r="H244" s="71">
        <v>5.9749999999999996</v>
      </c>
      <c r="I244" s="67"/>
      <c r="J244" s="24"/>
      <c r="K244" s="45" t="s">
        <v>163</v>
      </c>
      <c r="L244" t="s">
        <v>756</v>
      </c>
      <c r="S244" s="2"/>
    </row>
    <row r="245" spans="1:19" x14ac:dyDescent="0.35">
      <c r="A245" s="43">
        <v>43915</v>
      </c>
      <c r="B245" s="14"/>
      <c r="C245" s="14"/>
      <c r="D245" s="16"/>
      <c r="E245" s="14"/>
      <c r="F245" s="14"/>
      <c r="G245" s="14"/>
      <c r="H245" s="71"/>
      <c r="I245" s="67"/>
      <c r="J245" s="24"/>
      <c r="K245" s="45" t="s">
        <v>161</v>
      </c>
      <c r="L245" t="s">
        <v>756</v>
      </c>
      <c r="M245" s="111" t="s">
        <v>841</v>
      </c>
      <c r="N245" s="31"/>
      <c r="O245" s="31"/>
      <c r="P245" s="31"/>
      <c r="S245" s="2"/>
    </row>
    <row r="246" spans="1:19" x14ac:dyDescent="0.35">
      <c r="A246" s="43">
        <v>43914</v>
      </c>
      <c r="B246" s="14"/>
      <c r="C246" s="14"/>
      <c r="D246" s="16"/>
      <c r="E246" s="14"/>
      <c r="F246" s="14"/>
      <c r="G246" s="14"/>
      <c r="H246" s="71"/>
      <c r="I246" s="67"/>
      <c r="J246" s="24"/>
      <c r="K246" s="45" t="s">
        <v>160</v>
      </c>
      <c r="L246" t="s">
        <v>756</v>
      </c>
      <c r="M246" s="32"/>
      <c r="N246" t="s">
        <v>842</v>
      </c>
      <c r="O246" s="31"/>
      <c r="P246" s="31"/>
      <c r="S246" s="2"/>
    </row>
    <row r="247" spans="1:19" x14ac:dyDescent="0.35">
      <c r="A247" s="43">
        <v>43910</v>
      </c>
      <c r="B247" s="14"/>
      <c r="C247" s="14"/>
      <c r="D247" s="16"/>
      <c r="E247" s="14"/>
      <c r="F247" s="14"/>
      <c r="G247" s="14"/>
      <c r="H247" s="71"/>
      <c r="I247" s="67"/>
      <c r="J247" s="24"/>
      <c r="K247" s="45" t="s">
        <v>156</v>
      </c>
      <c r="L247" t="s">
        <v>756</v>
      </c>
      <c r="M247" s="32"/>
      <c r="N247" s="31" t="s">
        <v>869</v>
      </c>
      <c r="O247" s="31"/>
      <c r="P247" s="31"/>
      <c r="S247" s="2"/>
    </row>
    <row r="248" spans="1:19" x14ac:dyDescent="0.35">
      <c r="A248" s="43">
        <v>43909</v>
      </c>
      <c r="B248" s="14"/>
      <c r="C248" s="14"/>
      <c r="D248" s="16"/>
      <c r="E248" s="14"/>
      <c r="F248" s="14"/>
      <c r="G248" s="14"/>
      <c r="H248" s="71"/>
      <c r="I248" s="67"/>
      <c r="J248" s="24"/>
      <c r="K248" s="45" t="s">
        <v>155</v>
      </c>
      <c r="L248" t="s">
        <v>756</v>
      </c>
      <c r="N248" s="31"/>
      <c r="O248" s="31"/>
      <c r="P248" s="31"/>
      <c r="S248" s="2"/>
    </row>
    <row r="249" spans="1:19" x14ac:dyDescent="0.35">
      <c r="A249" s="43">
        <v>43907</v>
      </c>
      <c r="B249" s="27" t="s">
        <v>158</v>
      </c>
      <c r="C249" s="14"/>
      <c r="D249" s="16"/>
      <c r="E249" s="14"/>
      <c r="F249" s="14"/>
      <c r="G249" s="14"/>
      <c r="H249" s="71"/>
      <c r="I249" s="67"/>
      <c r="J249" s="24"/>
      <c r="K249" s="48"/>
      <c r="L249" t="s">
        <v>756</v>
      </c>
      <c r="M249" s="32" t="s">
        <v>755</v>
      </c>
      <c r="N249" s="33"/>
      <c r="O249" s="34"/>
      <c r="P249" s="31"/>
      <c r="S249" s="2"/>
    </row>
    <row r="250" spans="1:19" x14ac:dyDescent="0.35">
      <c r="A250" s="43">
        <v>43900</v>
      </c>
      <c r="B250" s="14" t="s">
        <v>90</v>
      </c>
      <c r="C250" s="14" t="s">
        <v>63</v>
      </c>
      <c r="D250" s="16">
        <f>-F250*E250*0.0035</f>
        <v>301.82950000000005</v>
      </c>
      <c r="E250" s="14">
        <v>8.3000000000000007</v>
      </c>
      <c r="F250" s="14">
        <v>-10390</v>
      </c>
      <c r="G250" s="14"/>
      <c r="H250" s="71"/>
      <c r="I250" s="67"/>
      <c r="J250" s="24"/>
      <c r="K250" s="45" t="s">
        <v>152</v>
      </c>
      <c r="L250" t="s">
        <v>756</v>
      </c>
      <c r="M250" s="110" t="s">
        <v>815</v>
      </c>
      <c r="N250" s="33" t="s">
        <v>711</v>
      </c>
      <c r="O250" s="34"/>
      <c r="P250" s="31"/>
      <c r="S250" s="2"/>
    </row>
    <row r="251" spans="1:19" x14ac:dyDescent="0.35">
      <c r="A251" s="43">
        <v>43895</v>
      </c>
      <c r="B251" s="14" t="s">
        <v>62</v>
      </c>
      <c r="C251" s="14" t="s">
        <v>63</v>
      </c>
      <c r="D251" s="16">
        <f>F251*E251*0.0025</f>
        <v>248.22200000000001</v>
      </c>
      <c r="E251" s="14">
        <v>9.5470000000000006</v>
      </c>
      <c r="F251" s="14">
        <v>10400</v>
      </c>
      <c r="G251" s="14">
        <v>100000</v>
      </c>
      <c r="H251" s="71">
        <f>E251+0.06</f>
        <v>9.6070000000000011</v>
      </c>
      <c r="I251" s="67"/>
      <c r="J251" s="24"/>
      <c r="K251" s="45" t="s">
        <v>151</v>
      </c>
      <c r="L251" t="s">
        <v>756</v>
      </c>
      <c r="M251" t="s">
        <v>756</v>
      </c>
      <c r="N251" s="33" t="s">
        <v>724</v>
      </c>
      <c r="O251" s="34"/>
      <c r="P251" s="31"/>
      <c r="S251" s="2"/>
    </row>
    <row r="252" spans="1:19" x14ac:dyDescent="0.35">
      <c r="A252" s="43">
        <v>43881</v>
      </c>
      <c r="B252" s="14" t="s">
        <v>226</v>
      </c>
      <c r="C252" s="14"/>
      <c r="D252" s="16"/>
      <c r="E252" s="14"/>
      <c r="F252" s="14"/>
      <c r="G252" s="14">
        <v>-102000</v>
      </c>
      <c r="H252" s="71"/>
      <c r="I252" s="67"/>
      <c r="J252" s="24"/>
      <c r="K252" s="45" t="s">
        <v>150</v>
      </c>
      <c r="L252" t="s">
        <v>756</v>
      </c>
      <c r="M252" s="34" t="s">
        <v>756</v>
      </c>
      <c r="N252" s="34" t="s">
        <v>770</v>
      </c>
      <c r="O252" s="34"/>
      <c r="P252" s="31"/>
      <c r="S252" s="2"/>
    </row>
    <row r="253" spans="1:19" x14ac:dyDescent="0.35">
      <c r="A253" s="43">
        <v>43878</v>
      </c>
      <c r="B253" s="14" t="s">
        <v>90</v>
      </c>
      <c r="C253" s="14" t="s">
        <v>63</v>
      </c>
      <c r="D253" s="16">
        <f>-F253*0.0035*E253</f>
        <v>357</v>
      </c>
      <c r="E253" s="14">
        <v>10</v>
      </c>
      <c r="F253" s="14">
        <v>-10200</v>
      </c>
      <c r="G253" s="14"/>
      <c r="H253" s="71"/>
      <c r="I253" s="67"/>
      <c r="J253" s="24"/>
      <c r="K253" s="45" t="s">
        <v>148</v>
      </c>
      <c r="L253" t="s">
        <v>756</v>
      </c>
      <c r="M253" s="29" t="s">
        <v>756</v>
      </c>
      <c r="N253" s="33" t="s">
        <v>730</v>
      </c>
      <c r="O253" s="34">
        <v>46.5</v>
      </c>
      <c r="P253" s="31">
        <f>((O253-1.2)/1.05*2+13.5)/3</f>
        <v>33.261904761904759</v>
      </c>
      <c r="S253" s="2"/>
    </row>
    <row r="254" spans="1:19" x14ac:dyDescent="0.35">
      <c r="A254" s="43">
        <v>43866</v>
      </c>
      <c r="B254" s="14" t="s">
        <v>62</v>
      </c>
      <c r="C254" s="14" t="s">
        <v>63</v>
      </c>
      <c r="D254" s="16">
        <f>F254*E254*0.0025</f>
        <v>125.05999999999999</v>
      </c>
      <c r="E254" s="14">
        <v>9.6199999999999992</v>
      </c>
      <c r="F254" s="14">
        <v>5200</v>
      </c>
      <c r="G254" s="14"/>
      <c r="H254" s="71">
        <f>9.925+0.06</f>
        <v>9.9850000000000012</v>
      </c>
      <c r="I254" s="67"/>
      <c r="J254" s="24"/>
      <c r="K254" s="45" t="s">
        <v>139</v>
      </c>
      <c r="L254" t="s">
        <v>756</v>
      </c>
      <c r="M254" s="29" t="s">
        <v>765</v>
      </c>
      <c r="N254" s="33"/>
      <c r="O254" s="34"/>
      <c r="P254" s="31"/>
      <c r="S254" s="2"/>
    </row>
    <row r="255" spans="1:19" x14ac:dyDescent="0.35">
      <c r="A255" s="43">
        <v>43861</v>
      </c>
      <c r="B255" s="14"/>
      <c r="C255" s="14"/>
      <c r="D255" s="16">
        <v>60</v>
      </c>
      <c r="E255" s="14"/>
      <c r="F255" s="14"/>
      <c r="G255" s="14"/>
      <c r="H255" s="71"/>
      <c r="I255" s="67"/>
      <c r="J255" s="24"/>
      <c r="K255" s="45" t="s">
        <v>138</v>
      </c>
      <c r="L255" t="s">
        <v>756</v>
      </c>
      <c r="M255" s="29" t="s">
        <v>756</v>
      </c>
      <c r="N255" s="112" t="s">
        <v>870</v>
      </c>
      <c r="O255" s="34"/>
      <c r="P255" s="31"/>
      <c r="S255" s="2"/>
    </row>
    <row r="256" spans="1:19" x14ac:dyDescent="0.35">
      <c r="A256" s="43">
        <v>43860</v>
      </c>
      <c r="B256" s="14" t="s">
        <v>90</v>
      </c>
      <c r="C256" s="14" t="s">
        <v>63</v>
      </c>
      <c r="D256" s="16">
        <f>-E256*F256*0.0035</f>
        <v>176.75</v>
      </c>
      <c r="E256" s="14">
        <v>10.1</v>
      </c>
      <c r="F256" s="14">
        <v>-5000</v>
      </c>
      <c r="G256" s="14"/>
      <c r="H256" s="71"/>
      <c r="I256" s="67"/>
      <c r="J256" s="24"/>
      <c r="K256" s="45" t="s">
        <v>132</v>
      </c>
      <c r="L256" t="s">
        <v>756</v>
      </c>
      <c r="M256" s="29" t="s">
        <v>756</v>
      </c>
      <c r="N256" s="112" t="s">
        <v>871</v>
      </c>
      <c r="O256" s="34"/>
      <c r="P256" s="31"/>
      <c r="S256" s="2"/>
    </row>
    <row r="257" spans="1:19" x14ac:dyDescent="0.35">
      <c r="A257" s="43">
        <v>43852</v>
      </c>
      <c r="B257" s="14" t="s">
        <v>226</v>
      </c>
      <c r="C257" s="14"/>
      <c r="D257" s="16"/>
      <c r="E257" s="14"/>
      <c r="F257" s="14"/>
      <c r="G257" s="14">
        <v>-4400</v>
      </c>
      <c r="H257" s="71"/>
      <c r="I257" s="67"/>
      <c r="J257" s="24"/>
      <c r="K257" s="45"/>
      <c r="M257" s="29" t="s">
        <v>773</v>
      </c>
      <c r="N257" s="34"/>
      <c r="O257" s="34"/>
      <c r="P257" s="31"/>
      <c r="S257" s="2"/>
    </row>
    <row r="258" spans="1:19" x14ac:dyDescent="0.35">
      <c r="A258" s="43">
        <v>43852</v>
      </c>
      <c r="B258" s="14" t="s">
        <v>62</v>
      </c>
      <c r="C258" s="14" t="s">
        <v>63</v>
      </c>
      <c r="D258" s="16">
        <f>E258*F258*0.0025</f>
        <v>130</v>
      </c>
      <c r="E258" s="14">
        <v>10.4</v>
      </c>
      <c r="F258" s="14">
        <v>5000</v>
      </c>
      <c r="G258" s="14"/>
      <c r="H258" s="71">
        <v>10.31</v>
      </c>
      <c r="I258" s="67"/>
      <c r="J258" s="24"/>
      <c r="K258" s="45" t="s">
        <v>126</v>
      </c>
      <c r="M258" s="29"/>
      <c r="N258" s="34" t="s">
        <v>768</v>
      </c>
      <c r="O258" s="34"/>
      <c r="P258" s="31"/>
    </row>
    <row r="259" spans="1:19" x14ac:dyDescent="0.35">
      <c r="A259" s="43">
        <v>43846</v>
      </c>
      <c r="B259" s="14" t="s">
        <v>227</v>
      </c>
      <c r="C259" s="14"/>
      <c r="D259" s="16"/>
      <c r="E259" s="14"/>
      <c r="F259" s="14"/>
      <c r="G259" s="14">
        <v>26500</v>
      </c>
      <c r="H259" s="71"/>
      <c r="I259" s="67"/>
      <c r="J259" s="24"/>
      <c r="K259" s="45"/>
      <c r="M259" s="29"/>
      <c r="N259" s="106" t="s">
        <v>769</v>
      </c>
      <c r="O259" s="34">
        <f>(2*48.7+1*14)/3</f>
        <v>37.133333333333333</v>
      </c>
      <c r="P259" s="31"/>
    </row>
    <row r="260" spans="1:19" x14ac:dyDescent="0.35">
      <c r="A260" s="43">
        <v>43844</v>
      </c>
      <c r="B260" s="14" t="s">
        <v>62</v>
      </c>
      <c r="C260" s="14" t="s">
        <v>63</v>
      </c>
      <c r="D260" s="16">
        <f>E260*F260*0.0025</f>
        <v>126.25</v>
      </c>
      <c r="E260" s="14">
        <v>10.1</v>
      </c>
      <c r="F260" s="14">
        <v>5000</v>
      </c>
      <c r="G260" s="14"/>
      <c r="H260" s="71">
        <v>10.16</v>
      </c>
      <c r="I260" s="67"/>
      <c r="J260" s="24"/>
      <c r="K260" s="45" t="s">
        <v>125</v>
      </c>
      <c r="M260" s="29" t="s">
        <v>805</v>
      </c>
      <c r="N260" s="106"/>
      <c r="O260" s="34"/>
      <c r="P260" s="31"/>
    </row>
    <row r="261" spans="1:19" x14ac:dyDescent="0.35">
      <c r="A261" s="43">
        <v>43838</v>
      </c>
      <c r="B261" s="14" t="s">
        <v>90</v>
      </c>
      <c r="C261" s="14" t="s">
        <v>63</v>
      </c>
      <c r="D261" s="16">
        <f>-0.0035*E261*F261</f>
        <v>278.565</v>
      </c>
      <c r="E261" s="14">
        <v>10.5</v>
      </c>
      <c r="F261" s="14">
        <v>-7580</v>
      </c>
      <c r="G261" s="14"/>
      <c r="H261" s="71"/>
      <c r="I261" s="67"/>
      <c r="J261" s="24"/>
      <c r="K261" s="45" t="s">
        <v>123</v>
      </c>
      <c r="N261" s="106" t="s">
        <v>804</v>
      </c>
    </row>
    <row r="262" spans="1:19" x14ac:dyDescent="0.35">
      <c r="A262" s="43">
        <v>43824</v>
      </c>
      <c r="B262" s="14" t="s">
        <v>62</v>
      </c>
      <c r="C262" s="14" t="s">
        <v>63</v>
      </c>
      <c r="D262" s="16">
        <f>E262*F262*0.0025</f>
        <v>67.343499999999992</v>
      </c>
      <c r="E262" s="14">
        <v>9.94</v>
      </c>
      <c r="F262" s="14">
        <v>2710</v>
      </c>
      <c r="G262" s="14"/>
      <c r="H262" s="71">
        <f>10*1.006</f>
        <v>10.06</v>
      </c>
      <c r="I262" s="67"/>
      <c r="J262" s="24"/>
      <c r="K262" s="45" t="s">
        <v>117</v>
      </c>
    </row>
    <row r="263" spans="1:19" x14ac:dyDescent="0.35">
      <c r="A263" s="43">
        <v>43822</v>
      </c>
      <c r="B263" s="14" t="s">
        <v>90</v>
      </c>
      <c r="C263" s="14" t="s">
        <v>92</v>
      </c>
      <c r="D263" s="16">
        <f>-E263*F263*0.0035</f>
        <v>95.025000000000006</v>
      </c>
      <c r="E263" s="14">
        <v>27.15</v>
      </c>
      <c r="F263" s="14">
        <v>-1000</v>
      </c>
      <c r="G263" s="14"/>
      <c r="H263" s="71"/>
      <c r="I263" s="67"/>
      <c r="J263" s="24"/>
      <c r="K263" s="45" t="s">
        <v>116</v>
      </c>
    </row>
    <row r="264" spans="1:19" x14ac:dyDescent="0.35">
      <c r="A264" s="43">
        <v>43818</v>
      </c>
      <c r="B264" s="14" t="s">
        <v>62</v>
      </c>
      <c r="C264" s="14" t="s">
        <v>63</v>
      </c>
      <c r="D264" s="16">
        <f>E264*F264*0.0025</f>
        <v>0.49950000000000006</v>
      </c>
      <c r="E264" s="14">
        <v>9.99</v>
      </c>
      <c r="F264" s="14">
        <v>20</v>
      </c>
      <c r="G264" s="14"/>
      <c r="H264" s="71"/>
      <c r="I264" s="67"/>
      <c r="J264" s="24"/>
      <c r="K264" s="45"/>
    </row>
    <row r="265" spans="1:19" x14ac:dyDescent="0.35">
      <c r="A265" s="43">
        <v>43812</v>
      </c>
      <c r="B265" s="14" t="s">
        <v>62</v>
      </c>
      <c r="C265" s="14" t="s">
        <v>63</v>
      </c>
      <c r="D265" s="16">
        <f>E265*F265*0.0025</f>
        <v>21.462500000000002</v>
      </c>
      <c r="E265" s="14">
        <v>10.1</v>
      </c>
      <c r="F265" s="14">
        <v>850</v>
      </c>
      <c r="G265" s="14"/>
      <c r="H265" s="71">
        <f>10.03*1.006</f>
        <v>10.09018</v>
      </c>
      <c r="I265" s="67"/>
      <c r="J265" s="24"/>
      <c r="K265" s="45" t="s">
        <v>115</v>
      </c>
    </row>
    <row r="266" spans="1:19" x14ac:dyDescent="0.35">
      <c r="A266" s="43">
        <v>43810</v>
      </c>
      <c r="B266" s="14" t="s">
        <v>62</v>
      </c>
      <c r="C266" s="14" t="s">
        <v>63</v>
      </c>
      <c r="D266" s="16">
        <f>E266*F266*0.0025+50</f>
        <v>99.9</v>
      </c>
      <c r="E266" s="14">
        <v>9.98</v>
      </c>
      <c r="F266" s="14">
        <v>2000</v>
      </c>
      <c r="G266" s="14"/>
      <c r="H266" s="71">
        <f>10.015*1.006</f>
        <v>10.075090000000001</v>
      </c>
      <c r="I266" s="67"/>
      <c r="J266" s="24"/>
      <c r="K266" s="45" t="s">
        <v>114</v>
      </c>
    </row>
    <row r="267" spans="1:19" x14ac:dyDescent="0.35">
      <c r="A267" s="43">
        <v>43809</v>
      </c>
      <c r="B267" s="14" t="s">
        <v>90</v>
      </c>
      <c r="C267" s="14" t="s">
        <v>92</v>
      </c>
      <c r="D267" s="16">
        <f>-E267*F267*0.0035</f>
        <v>101.15</v>
      </c>
      <c r="E267" s="14">
        <v>28.9</v>
      </c>
      <c r="F267" s="14">
        <v>-1000</v>
      </c>
      <c r="G267" s="14"/>
      <c r="H267" s="71"/>
      <c r="I267" s="67"/>
      <c r="J267" s="24"/>
      <c r="K267" s="45"/>
    </row>
    <row r="268" spans="1:19" x14ac:dyDescent="0.35">
      <c r="A268" s="43">
        <v>43808</v>
      </c>
      <c r="B268" s="14" t="s">
        <v>62</v>
      </c>
      <c r="C268" s="14" t="s">
        <v>63</v>
      </c>
      <c r="D268" s="16">
        <f>F268*E268*0.0025</f>
        <v>25.75</v>
      </c>
      <c r="E268" s="14">
        <v>10.3</v>
      </c>
      <c r="F268" s="14">
        <v>1000</v>
      </c>
      <c r="G268" s="14"/>
      <c r="H268" s="71">
        <f>10.05*1.006</f>
        <v>10.110300000000001</v>
      </c>
      <c r="I268" s="67"/>
      <c r="J268" s="24"/>
      <c r="K268" s="45"/>
    </row>
    <row r="269" spans="1:19" x14ac:dyDescent="0.35">
      <c r="A269" s="43">
        <v>43805</v>
      </c>
      <c r="B269" s="14" t="s">
        <v>227</v>
      </c>
      <c r="C269" s="14"/>
      <c r="D269" s="16"/>
      <c r="E269" s="14"/>
      <c r="F269" s="14"/>
      <c r="G269" s="14">
        <v>6480</v>
      </c>
      <c r="H269" s="71"/>
      <c r="I269" s="67"/>
      <c r="J269" s="24"/>
      <c r="K269" s="45"/>
    </row>
    <row r="270" spans="1:19" x14ac:dyDescent="0.35">
      <c r="A270" s="43">
        <v>43804</v>
      </c>
      <c r="B270" s="14" t="s">
        <v>62</v>
      </c>
      <c r="C270" s="14" t="s">
        <v>63</v>
      </c>
      <c r="D270" s="16">
        <f>E270*F270*0.0025</f>
        <v>24.5</v>
      </c>
      <c r="E270" s="14">
        <v>9.8000000000000007</v>
      </c>
      <c r="F270" s="14">
        <v>1000</v>
      </c>
      <c r="G270" s="14"/>
      <c r="H270" s="71">
        <f>(E270*F270+E270*F270*0.006)/F270</f>
        <v>9.8587999999999987</v>
      </c>
      <c r="I270" s="67"/>
      <c r="J270" s="24"/>
      <c r="K270" s="45"/>
    </row>
    <row r="271" spans="1:19" x14ac:dyDescent="0.35">
      <c r="A271" s="43">
        <v>43802</v>
      </c>
      <c r="B271" s="14" t="s">
        <v>90</v>
      </c>
      <c r="C271" s="14" t="s">
        <v>92</v>
      </c>
      <c r="D271" s="16">
        <v>48.2</v>
      </c>
      <c r="E271" s="14">
        <v>28.1</v>
      </c>
      <c r="F271" s="14">
        <v>-490</v>
      </c>
      <c r="G271" s="14"/>
      <c r="H271" s="71"/>
      <c r="I271" s="67"/>
      <c r="J271" s="24"/>
      <c r="K271" s="45"/>
    </row>
    <row r="272" spans="1:19" x14ac:dyDescent="0.35">
      <c r="A272" s="43">
        <v>43761</v>
      </c>
      <c r="B272" s="14" t="s">
        <v>62</v>
      </c>
      <c r="C272" s="14" t="s">
        <v>92</v>
      </c>
      <c r="D272" s="16">
        <f>F272*E272*0.0025</f>
        <v>30.80875</v>
      </c>
      <c r="E272" s="14">
        <v>25.15</v>
      </c>
      <c r="F272" s="14">
        <v>490</v>
      </c>
      <c r="G272" s="14"/>
      <c r="H272" s="71">
        <f>27.721*1.006</f>
        <v>27.887326000000002</v>
      </c>
      <c r="I272" s="67"/>
      <c r="J272" s="24"/>
      <c r="K272" s="45"/>
    </row>
    <row r="273" spans="1:11" x14ac:dyDescent="0.35">
      <c r="A273" s="43">
        <v>43760</v>
      </c>
      <c r="B273" s="14" t="s">
        <v>227</v>
      </c>
      <c r="C273" s="14"/>
      <c r="D273" s="16"/>
      <c r="E273" s="14"/>
      <c r="F273" s="14"/>
      <c r="G273" s="14">
        <v>10300</v>
      </c>
      <c r="H273" s="71"/>
      <c r="I273" s="67"/>
      <c r="J273" s="24"/>
      <c r="K273" s="45"/>
    </row>
    <row r="274" spans="1:11" x14ac:dyDescent="0.35">
      <c r="A274" s="43">
        <v>43732</v>
      </c>
      <c r="B274" s="14" t="s">
        <v>62</v>
      </c>
      <c r="C274" s="14" t="s">
        <v>92</v>
      </c>
      <c r="D274" s="16">
        <f>F274*E274*0.0025</f>
        <v>14.375</v>
      </c>
      <c r="E274" s="14">
        <v>25</v>
      </c>
      <c r="F274" s="14">
        <v>230</v>
      </c>
      <c r="G274" s="14">
        <v>7650</v>
      </c>
      <c r="H274" s="71">
        <f>((H275*1770+F274*E274)+D274)/2000</f>
        <v>28.477160000000001</v>
      </c>
      <c r="I274" s="67"/>
      <c r="J274" s="24"/>
      <c r="K274" s="45"/>
    </row>
    <row r="275" spans="1:11" x14ac:dyDescent="0.35">
      <c r="A275" s="43">
        <v>43699</v>
      </c>
      <c r="B275" s="14" t="s">
        <v>62</v>
      </c>
      <c r="C275" s="14" t="s">
        <v>92</v>
      </c>
      <c r="D275" s="16">
        <f>F275*E275*0.0025</f>
        <v>17.82</v>
      </c>
      <c r="E275" s="14">
        <v>26.4</v>
      </c>
      <c r="F275" s="14">
        <v>270</v>
      </c>
      <c r="G275" s="14">
        <v>7300</v>
      </c>
      <c r="H275" s="71">
        <f>(H276*1500+SUM(D275:D278)+E275*F275)/1770</f>
        <v>28.920872881355933</v>
      </c>
      <c r="I275" s="67"/>
      <c r="J275" s="24"/>
      <c r="K275" s="45"/>
    </row>
    <row r="276" spans="1:11" x14ac:dyDescent="0.35">
      <c r="A276" s="43">
        <v>43664</v>
      </c>
      <c r="B276" s="14" t="s">
        <v>62</v>
      </c>
      <c r="C276" s="14" t="s">
        <v>92</v>
      </c>
      <c r="D276" s="16">
        <f>F276*E276*0.0025</f>
        <v>20.4375</v>
      </c>
      <c r="E276" s="14">
        <v>27.25</v>
      </c>
      <c r="F276" s="14">
        <v>300</v>
      </c>
      <c r="G276" s="14">
        <v>8100</v>
      </c>
      <c r="H276" s="71">
        <f>(H277*1200+(E276*F276+D276))/1500</f>
        <v>29.289708333333333</v>
      </c>
      <c r="I276" s="67"/>
      <c r="J276" s="24"/>
      <c r="K276" s="45"/>
    </row>
    <row r="277" spans="1:11" x14ac:dyDescent="0.35">
      <c r="A277" s="43">
        <v>43662</v>
      </c>
      <c r="B277" s="14" t="s">
        <v>62</v>
      </c>
      <c r="C277" s="14" t="s">
        <v>92</v>
      </c>
      <c r="D277" s="16">
        <f>0.25%*E277*F277</f>
        <v>15.125</v>
      </c>
      <c r="E277" s="14">
        <v>30.25</v>
      </c>
      <c r="F277" s="14">
        <v>200</v>
      </c>
      <c r="G277" s="14"/>
      <c r="H277" s="71">
        <f>(((E278*F278)+D278)+((E277*F277)+D277))/1200</f>
        <v>29.782604166666665</v>
      </c>
      <c r="I277" s="67"/>
      <c r="J277" s="24"/>
      <c r="K277" s="45" t="s">
        <v>93</v>
      </c>
    </row>
    <row r="278" spans="1:11" x14ac:dyDescent="0.35">
      <c r="A278" s="43">
        <v>43640</v>
      </c>
      <c r="B278" s="14" t="s">
        <v>62</v>
      </c>
      <c r="C278" s="14" t="s">
        <v>92</v>
      </c>
      <c r="D278" s="16">
        <v>74</v>
      </c>
      <c r="E278" s="14">
        <v>29.6</v>
      </c>
      <c r="F278" s="14">
        <v>1000</v>
      </c>
      <c r="G278" s="14"/>
      <c r="H278" s="71"/>
      <c r="I278" s="67"/>
      <c r="J278" s="24"/>
      <c r="K278" s="45"/>
    </row>
    <row r="279" spans="1:11" x14ac:dyDescent="0.35">
      <c r="A279" s="43">
        <v>43622</v>
      </c>
      <c r="B279" s="14" t="s">
        <v>90</v>
      </c>
      <c r="C279" s="14" t="s">
        <v>63</v>
      </c>
      <c r="D279" s="16">
        <v>125.5</v>
      </c>
      <c r="E279" s="14">
        <v>11.95</v>
      </c>
      <c r="F279" s="14">
        <v>-3000</v>
      </c>
      <c r="G279" s="14"/>
      <c r="H279" s="71"/>
      <c r="I279" s="67"/>
      <c r="J279" s="24"/>
      <c r="K279" s="45" t="s">
        <v>91</v>
      </c>
    </row>
    <row r="280" spans="1:11" x14ac:dyDescent="0.35">
      <c r="A280" s="44">
        <v>43609</v>
      </c>
      <c r="B280" s="12" t="s">
        <v>62</v>
      </c>
      <c r="C280" s="12" t="s">
        <v>63</v>
      </c>
      <c r="D280" s="17">
        <v>11.7</v>
      </c>
      <c r="E280" s="12">
        <v>11.7</v>
      </c>
      <c r="F280" s="12">
        <v>400</v>
      </c>
      <c r="G280" s="12">
        <v>4500</v>
      </c>
      <c r="H280" s="71">
        <v>11.753</v>
      </c>
      <c r="I280" s="67"/>
      <c r="J280" s="25"/>
      <c r="K280" s="49">
        <v>166.749</v>
      </c>
    </row>
    <row r="281" spans="1:11" x14ac:dyDescent="0.35">
      <c r="A281" s="44">
        <v>43599</v>
      </c>
      <c r="B281" s="12" t="s">
        <v>62</v>
      </c>
      <c r="C281" s="12" t="s">
        <v>63</v>
      </c>
      <c r="D281" s="17">
        <v>11.35</v>
      </c>
      <c r="E281" s="12">
        <v>11.35</v>
      </c>
      <c r="F281" s="12">
        <v>400</v>
      </c>
      <c r="G281" s="12">
        <v>4600</v>
      </c>
      <c r="H281" s="71">
        <f>((SUM(F281:F282)*E281)+(F283*E283)+(F284*E284))/SUM(F281:F284)+0.039</f>
        <v>11.719769230769231</v>
      </c>
      <c r="I281" s="67"/>
      <c r="J281" s="25"/>
      <c r="K281" s="49"/>
    </row>
    <row r="282" spans="1:11" x14ac:dyDescent="0.35">
      <c r="A282" s="44">
        <v>43595</v>
      </c>
      <c r="B282" s="12" t="s">
        <v>62</v>
      </c>
      <c r="C282" s="12" t="s">
        <v>63</v>
      </c>
      <c r="D282" s="17">
        <v>8.52</v>
      </c>
      <c r="E282" s="12">
        <v>11.35</v>
      </c>
      <c r="F282" s="12">
        <v>300</v>
      </c>
      <c r="G282" s="12">
        <v>3700</v>
      </c>
      <c r="H282" s="71"/>
      <c r="I282" s="67"/>
      <c r="J282" s="25"/>
      <c r="K282" s="49"/>
    </row>
    <row r="283" spans="1:11" x14ac:dyDescent="0.35">
      <c r="A283" s="44">
        <v>43574</v>
      </c>
      <c r="B283" s="12" t="s">
        <v>62</v>
      </c>
      <c r="C283" s="12" t="s">
        <v>63</v>
      </c>
      <c r="D283" s="17">
        <v>19.163</v>
      </c>
      <c r="E283" s="12">
        <v>10.95</v>
      </c>
      <c r="F283" s="12">
        <v>700</v>
      </c>
      <c r="G283" s="12">
        <v>7500</v>
      </c>
      <c r="H283" s="71">
        <f>((F283*E283)+(E284*F284))/(F283+F284)+0.035</f>
        <v>11.837631578947368</v>
      </c>
      <c r="I283" s="67"/>
      <c r="J283" s="25"/>
      <c r="K283" s="49"/>
    </row>
    <row r="284" spans="1:11" x14ac:dyDescent="0.35">
      <c r="A284" s="55">
        <v>43549</v>
      </c>
      <c r="B284" s="40" t="s">
        <v>62</v>
      </c>
      <c r="C284" s="40" t="s">
        <v>63</v>
      </c>
      <c r="D284" s="56">
        <v>36.9</v>
      </c>
      <c r="E284" s="40">
        <v>12.3</v>
      </c>
      <c r="F284" s="40">
        <v>1200</v>
      </c>
      <c r="G284" s="40">
        <v>15000</v>
      </c>
      <c r="H284" s="76"/>
      <c r="I284" s="70"/>
      <c r="J284" s="57"/>
      <c r="K284" s="58"/>
    </row>
    <row r="286" spans="1:11" x14ac:dyDescent="0.35">
      <c r="E286" s="18"/>
    </row>
  </sheetData>
  <hyperlinks>
    <hyperlink ref="R14" r:id="rId1"/>
  </hyperlinks>
  <pageMargins left="0.7" right="0.7" top="0.75" bottom="0.75" header="0.3" footer="0.3"/>
  <pageSetup paperSize="9" orientation="portrait" verticalDpi="0" r:id="rId2"/>
  <ignoredErrors>
    <ignoredError sqref="I87:J87 D87" formula="1"/>
  </ignoredErrors>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59"/>
  <sheetViews>
    <sheetView tabSelected="1" workbookViewId="0">
      <selection activeCell="A12" sqref="A12"/>
    </sheetView>
  </sheetViews>
  <sheetFormatPr defaultRowHeight="14.5" x14ac:dyDescent="0.35"/>
  <cols>
    <col min="1" max="1" width="7.7265625" customWidth="1"/>
    <col min="2" max="2" width="6.7265625" customWidth="1"/>
    <col min="3" max="3" width="7.26953125" customWidth="1"/>
    <col min="4" max="4" width="7.7265625" bestFit="1" customWidth="1"/>
    <col min="5" max="5" width="4" customWidth="1"/>
    <col min="6" max="7" width="9.1796875" customWidth="1"/>
    <col min="8" max="8" width="6.26953125" customWidth="1"/>
    <col min="9" max="9" width="10" customWidth="1"/>
    <col min="10" max="10" width="24.81640625" customWidth="1"/>
    <col min="11" max="11" width="10.7265625" bestFit="1" customWidth="1"/>
    <col min="12" max="12" width="10.54296875" bestFit="1" customWidth="1"/>
    <col min="13" max="14" width="10.453125" customWidth="1"/>
    <col min="18" max="18" width="10.1796875" customWidth="1"/>
    <col min="19" max="19" width="10.453125" customWidth="1"/>
    <col min="20" max="20" width="11.1796875" customWidth="1"/>
    <col min="27" max="27" width="18.453125" bestFit="1" customWidth="1"/>
  </cols>
  <sheetData>
    <row r="1" spans="1:31" ht="23.5" x14ac:dyDescent="0.55000000000000004">
      <c r="A1" s="35" t="s">
        <v>1025</v>
      </c>
      <c r="M1">
        <v>2022</v>
      </c>
      <c r="O1" t="s">
        <v>1021</v>
      </c>
      <c r="T1" t="s">
        <v>1147</v>
      </c>
      <c r="AA1" t="s">
        <v>1115</v>
      </c>
      <c r="AB1" t="s">
        <v>657</v>
      </c>
      <c r="AC1" t="s">
        <v>1083</v>
      </c>
      <c r="AD1" t="s">
        <v>1084</v>
      </c>
      <c r="AE1" t="s">
        <v>1082</v>
      </c>
    </row>
    <row r="2" spans="1:31" x14ac:dyDescent="0.35">
      <c r="A2" s="50" t="s">
        <v>75</v>
      </c>
      <c r="B2" s="51" t="s">
        <v>76</v>
      </c>
      <c r="C2" s="52" t="s">
        <v>72</v>
      </c>
      <c r="D2" s="51" t="s">
        <v>78</v>
      </c>
      <c r="E2" s="51" t="s">
        <v>79</v>
      </c>
      <c r="F2" s="53" t="s">
        <v>1037</v>
      </c>
      <c r="G2" s="53" t="s">
        <v>144</v>
      </c>
      <c r="H2" s="155" t="s">
        <v>989</v>
      </c>
      <c r="I2" s="155" t="s">
        <v>1133</v>
      </c>
      <c r="J2" s="54" t="s">
        <v>89</v>
      </c>
      <c r="K2" t="s">
        <v>756</v>
      </c>
      <c r="L2" s="13" t="s">
        <v>141</v>
      </c>
      <c r="M2" s="15">
        <f>SUM(Table6[[#All],[Commission]])</f>
        <v>19614.800000000003</v>
      </c>
      <c r="P2" t="s">
        <v>1022</v>
      </c>
      <c r="AA2" t="s">
        <v>1114</v>
      </c>
      <c r="AB2" t="s">
        <v>495</v>
      </c>
      <c r="AC2" t="s">
        <v>495</v>
      </c>
      <c r="AD2" t="s">
        <v>1068</v>
      </c>
    </row>
    <row r="3" spans="1:31" x14ac:dyDescent="0.35">
      <c r="A3" s="42"/>
      <c r="B3" s="14"/>
      <c r="C3" s="16"/>
      <c r="D3" s="14"/>
      <c r="E3" s="14"/>
      <c r="F3" s="24"/>
      <c r="G3" s="152">
        <f>Table6[[#This Row],[Vị thế đóng]]-Table6[[#This Row],[Commission]]</f>
        <v>0</v>
      </c>
      <c r="H3" s="24"/>
      <c r="I3" s="152"/>
      <c r="J3" s="45"/>
      <c r="K3" t="s">
        <v>756</v>
      </c>
      <c r="L3" s="13" t="s">
        <v>142</v>
      </c>
      <c r="M3" s="13">
        <f>11+16.5+5.5+5.5+22+5.5+5.5+5.5+5.5*4+5.5*3+5.5+11+16.5+5.5+5.5+11</f>
        <v>170.5</v>
      </c>
      <c r="P3" t="s">
        <v>1023</v>
      </c>
      <c r="T3" s="12" t="s">
        <v>1234</v>
      </c>
      <c r="U3" s="12">
        <f>M4/5+U4</f>
        <v>129226</v>
      </c>
      <c r="V3" s="12">
        <f>ROUNDDOWN(U3/25000,0)</f>
        <v>5</v>
      </c>
      <c r="AA3" t="s">
        <v>1113</v>
      </c>
      <c r="AB3" t="s">
        <v>454</v>
      </c>
      <c r="AC3" t="s">
        <v>454</v>
      </c>
      <c r="AD3" t="s">
        <v>1071</v>
      </c>
    </row>
    <row r="4" spans="1:31" x14ac:dyDescent="0.35">
      <c r="A4" s="43"/>
      <c r="B4" s="14"/>
      <c r="C4" s="16"/>
      <c r="D4" s="14"/>
      <c r="E4" s="14"/>
      <c r="F4" s="98"/>
      <c r="G4" s="153">
        <f>Table6[[#This Row],[Vị thế đóng]]-Table6[[#This Row],[Commission]]</f>
        <v>0</v>
      </c>
      <c r="H4" s="24"/>
      <c r="I4" s="152"/>
      <c r="J4" s="45"/>
      <c r="K4" t="s">
        <v>756</v>
      </c>
      <c r="L4" s="13" t="s">
        <v>1128</v>
      </c>
      <c r="M4" s="21">
        <f>125000*M9</f>
        <v>625000</v>
      </c>
      <c r="P4" t="s">
        <v>1024</v>
      </c>
      <c r="T4" s="12" t="s">
        <v>1235</v>
      </c>
      <c r="U4" s="12">
        <f>U5-V5</f>
        <v>4226</v>
      </c>
      <c r="V4" s="12"/>
      <c r="AA4" t="s">
        <v>1112</v>
      </c>
      <c r="AB4" t="s">
        <v>514</v>
      </c>
      <c r="AC4" t="s">
        <v>197</v>
      </c>
      <c r="AD4" t="s">
        <v>1072</v>
      </c>
    </row>
    <row r="5" spans="1:31" x14ac:dyDescent="0.35">
      <c r="A5" s="43"/>
      <c r="B5" s="14"/>
      <c r="C5" s="16"/>
      <c r="D5" s="14"/>
      <c r="E5" s="14"/>
      <c r="F5" s="98"/>
      <c r="G5" s="153">
        <f>Table6[[#This Row],[Vị thế đóng]]-Table6[[#This Row],[Commission]]</f>
        <v>0</v>
      </c>
      <c r="H5" s="24"/>
      <c r="I5" s="152"/>
      <c r="J5" s="45"/>
      <c r="K5" t="s">
        <v>756</v>
      </c>
      <c r="L5" s="13" t="s">
        <v>1224</v>
      </c>
      <c r="M5" s="21">
        <f>SUM(G:G)-M3-U5</f>
        <v>618.70000000036089</v>
      </c>
      <c r="T5" s="160" t="s">
        <v>1223</v>
      </c>
      <c r="U5" s="160">
        <f>SUM(U7:U14)</f>
        <v>37726</v>
      </c>
      <c r="V5" s="160">
        <f>SUM(V7:V14)</f>
        <v>33500</v>
      </c>
      <c r="AA5" t="s">
        <v>1111</v>
      </c>
      <c r="AB5" t="s">
        <v>197</v>
      </c>
      <c r="AC5" t="s">
        <v>200</v>
      </c>
      <c r="AD5" t="s">
        <v>1077</v>
      </c>
    </row>
    <row r="6" spans="1:31" x14ac:dyDescent="0.35">
      <c r="A6" s="43"/>
      <c r="B6" s="14"/>
      <c r="C6" s="16"/>
      <c r="D6" s="14"/>
      <c r="E6" s="14"/>
      <c r="F6" s="98"/>
      <c r="G6" s="153">
        <f>Table6[[#This Row],[Vị thế đóng]]-Table6[[#This Row],[Commission]]</f>
        <v>0</v>
      </c>
      <c r="H6" s="24"/>
      <c r="I6" s="152"/>
      <c r="J6" s="45"/>
      <c r="K6" t="s">
        <v>756</v>
      </c>
      <c r="L6" s="13" t="s">
        <v>144</v>
      </c>
      <c r="M6" s="21">
        <f>-M3-M2+SUM(Table6[[#All],[Vị thế đóng]])-M7</f>
        <v>38344.700000000354</v>
      </c>
      <c r="O6" s="134" t="s">
        <v>987</v>
      </c>
      <c r="T6" s="12"/>
      <c r="U6" s="12" t="s">
        <v>144</v>
      </c>
      <c r="V6" s="12" t="s">
        <v>1236</v>
      </c>
      <c r="W6" s="12" t="s">
        <v>1242</v>
      </c>
      <c r="X6" s="136" t="s">
        <v>1241</v>
      </c>
      <c r="Y6" s="136" t="s">
        <v>1240</v>
      </c>
      <c r="AA6" t="s">
        <v>1110</v>
      </c>
      <c r="AB6" t="s">
        <v>1064</v>
      </c>
      <c r="AC6" t="s">
        <v>367</v>
      </c>
    </row>
    <row r="7" spans="1:31" x14ac:dyDescent="0.35">
      <c r="A7" s="43"/>
      <c r="B7" s="14"/>
      <c r="C7" s="16"/>
      <c r="D7" s="14"/>
      <c r="E7" s="14"/>
      <c r="F7" s="98"/>
      <c r="G7" s="153">
        <f>Table6[[#This Row],[Vị thế đóng]]-Table6[[#This Row],[Commission]]</f>
        <v>0</v>
      </c>
      <c r="H7" s="24"/>
      <c r="I7" s="152"/>
      <c r="J7" s="45"/>
      <c r="K7" t="s">
        <v>756</v>
      </c>
      <c r="L7" s="13" t="s">
        <v>1225</v>
      </c>
      <c r="M7" s="21"/>
      <c r="O7" s="140" t="s">
        <v>975</v>
      </c>
      <c r="T7" s="12" t="s">
        <v>1222</v>
      </c>
      <c r="U7" s="12"/>
      <c r="V7" s="12"/>
      <c r="W7" s="12"/>
      <c r="X7" s="12"/>
      <c r="Y7" s="12"/>
      <c r="AA7" t="s">
        <v>1109</v>
      </c>
      <c r="AB7" t="s">
        <v>1065</v>
      </c>
      <c r="AC7" t="s">
        <v>198</v>
      </c>
    </row>
    <row r="8" spans="1:31" x14ac:dyDescent="0.35">
      <c r="A8" s="43">
        <v>44771</v>
      </c>
      <c r="B8" s="14"/>
      <c r="C8" s="16"/>
      <c r="D8" s="14"/>
      <c r="E8" s="14"/>
      <c r="F8" s="98"/>
      <c r="G8" s="153">
        <f>Table6[[#This Row],[Vị thế đóng]]-Table6[[#This Row],[Commission]]</f>
        <v>0</v>
      </c>
      <c r="H8" s="24"/>
      <c r="I8" s="152"/>
      <c r="J8" s="45"/>
      <c r="K8" t="s">
        <v>756</v>
      </c>
      <c r="L8" s="13" t="s">
        <v>407</v>
      </c>
      <c r="M8" s="65">
        <f>ROUNDDOWN((M6/(M4)),3)</f>
        <v>6.0999999999999999E-2</v>
      </c>
      <c r="O8" s="140" t="s">
        <v>976</v>
      </c>
      <c r="T8" s="12" t="s">
        <v>1221</v>
      </c>
      <c r="U8" s="12"/>
      <c r="V8" s="12"/>
      <c r="W8" s="12"/>
      <c r="X8" s="12"/>
      <c r="Y8" s="12"/>
      <c r="AA8" t="s">
        <v>1108</v>
      </c>
      <c r="AB8" t="s">
        <v>1066</v>
      </c>
      <c r="AC8" t="s">
        <v>481</v>
      </c>
    </row>
    <row r="9" spans="1:31" x14ac:dyDescent="0.35">
      <c r="A9" s="43">
        <v>44770</v>
      </c>
      <c r="B9" s="14"/>
      <c r="C9" s="16"/>
      <c r="D9" s="14"/>
      <c r="E9" s="14"/>
      <c r="F9" s="98"/>
      <c r="G9" s="153">
        <f>Table6[[#This Row],[Vị thế đóng]]-Table6[[#This Row],[Commission]]</f>
        <v>0</v>
      </c>
      <c r="H9" s="24"/>
      <c r="I9" s="152"/>
      <c r="J9" s="45"/>
      <c r="K9" t="s">
        <v>756</v>
      </c>
      <c r="L9" s="13" t="s">
        <v>79</v>
      </c>
      <c r="M9" s="13">
        <v>5</v>
      </c>
      <c r="O9" s="139" t="s">
        <v>977</v>
      </c>
      <c r="T9" s="12" t="s">
        <v>1220</v>
      </c>
      <c r="U9" s="12"/>
      <c r="V9" s="12"/>
      <c r="W9" s="12"/>
      <c r="X9" s="12"/>
      <c r="Y9" s="12"/>
      <c r="AA9" t="s">
        <v>1107</v>
      </c>
      <c r="AB9" t="s">
        <v>200</v>
      </c>
      <c r="AC9" t="s">
        <v>529</v>
      </c>
    </row>
    <row r="10" spans="1:31" x14ac:dyDescent="0.35">
      <c r="A10" s="43">
        <v>44769</v>
      </c>
      <c r="B10" s="14"/>
      <c r="C10" s="16"/>
      <c r="D10" s="14"/>
      <c r="E10" s="14"/>
      <c r="F10" s="98"/>
      <c r="G10" s="153">
        <f>Table6[[#This Row],[Vị thế đóng]]-Table6[[#This Row],[Commission]]</f>
        <v>0</v>
      </c>
      <c r="H10" s="24"/>
      <c r="I10" s="152"/>
      <c r="J10" s="45"/>
      <c r="K10" t="s">
        <v>756</v>
      </c>
      <c r="L10" s="33"/>
      <c r="M10" s="33"/>
      <c r="O10" s="2" t="s">
        <v>979</v>
      </c>
      <c r="T10" s="12" t="s">
        <v>1219</v>
      </c>
      <c r="U10" s="12"/>
      <c r="V10" s="12"/>
      <c r="W10" s="12"/>
      <c r="X10" s="12"/>
      <c r="Y10" s="12"/>
      <c r="AA10" t="s">
        <v>1106</v>
      </c>
      <c r="AB10" t="s">
        <v>1067</v>
      </c>
      <c r="AC10" t="s">
        <v>451</v>
      </c>
    </row>
    <row r="11" spans="1:31" x14ac:dyDescent="0.35">
      <c r="A11" s="43">
        <v>44768</v>
      </c>
      <c r="B11" s="14"/>
      <c r="C11" s="16"/>
      <c r="D11" s="14"/>
      <c r="E11" s="14"/>
      <c r="F11" s="98"/>
      <c r="G11" s="153">
        <f>Table6[[#This Row],[Vị thế đóng]]-Table6[[#This Row],[Commission]]</f>
        <v>0</v>
      </c>
      <c r="H11" s="24"/>
      <c r="I11" s="152"/>
      <c r="J11" s="45"/>
      <c r="K11" t="s">
        <v>756</v>
      </c>
      <c r="O11" s="2" t="s">
        <v>980</v>
      </c>
      <c r="T11" s="12" t="s">
        <v>1218</v>
      </c>
      <c r="U11" s="12"/>
      <c r="V11" s="12"/>
      <c r="W11" s="12"/>
      <c r="X11" s="12"/>
      <c r="Y11" s="12"/>
      <c r="AA11" t="s">
        <v>1105</v>
      </c>
      <c r="AB11" t="s">
        <v>1068</v>
      </c>
      <c r="AC11" s="157" t="s">
        <v>196</v>
      </c>
    </row>
    <row r="12" spans="1:31" x14ac:dyDescent="0.35">
      <c r="A12" s="43">
        <v>44767</v>
      </c>
      <c r="B12" s="14"/>
      <c r="C12" s="16"/>
      <c r="D12" s="14"/>
      <c r="E12" s="14"/>
      <c r="F12" s="98"/>
      <c r="G12" s="153">
        <f>Table6[[#This Row],[Vị thế đóng]]-Table6[[#This Row],[Commission]]</f>
        <v>0</v>
      </c>
      <c r="H12" s="24"/>
      <c r="I12" s="152"/>
      <c r="J12" s="45"/>
      <c r="K12" t="s">
        <v>756</v>
      </c>
      <c r="T12" s="12" t="s">
        <v>1217</v>
      </c>
      <c r="U12" s="12"/>
      <c r="V12" s="12"/>
      <c r="W12" s="12">
        <v>21</v>
      </c>
      <c r="X12" s="12"/>
      <c r="Y12" s="12"/>
      <c r="AA12" t="s">
        <v>1104</v>
      </c>
      <c r="AB12" t="s">
        <v>367</v>
      </c>
    </row>
    <row r="13" spans="1:31" x14ac:dyDescent="0.35">
      <c r="A13" s="43">
        <v>44764</v>
      </c>
      <c r="B13" s="14" t="s">
        <v>969</v>
      </c>
      <c r="C13" s="16">
        <v>150</v>
      </c>
      <c r="D13" s="14">
        <v>1231</v>
      </c>
      <c r="E13" s="14">
        <v>5</v>
      </c>
      <c r="F13" s="98">
        <v>-3050</v>
      </c>
      <c r="G13" s="153">
        <f>Table6[[#This Row],[Vị thế đóng]]-Table6[[#This Row],[Commission]]</f>
        <v>-3200</v>
      </c>
      <c r="H13" s="24"/>
      <c r="I13" s="152">
        <v>5000</v>
      </c>
      <c r="J13" s="45" t="s">
        <v>1316</v>
      </c>
      <c r="K13" t="s">
        <v>756</v>
      </c>
      <c r="O13" s="134" t="s">
        <v>988</v>
      </c>
      <c r="T13" s="12" t="s">
        <v>1149</v>
      </c>
      <c r="U13" s="12">
        <v>40838</v>
      </c>
      <c r="V13" s="12">
        <f>28500+5000</f>
        <v>33500</v>
      </c>
      <c r="W13" s="12">
        <v>22</v>
      </c>
      <c r="X13" s="12">
        <f>1247.9-1318.5</f>
        <v>-70.599999999999909</v>
      </c>
      <c r="Y13" s="12">
        <f>1256.67-1329.02</f>
        <v>-72.349999999999909</v>
      </c>
      <c r="AA13" t="s">
        <v>1103</v>
      </c>
      <c r="AB13" t="s">
        <v>1069</v>
      </c>
      <c r="AC13" t="s">
        <v>514</v>
      </c>
    </row>
    <row r="14" spans="1:31" x14ac:dyDescent="0.35">
      <c r="A14" s="43">
        <v>44763</v>
      </c>
      <c r="B14" s="14"/>
      <c r="C14" s="16"/>
      <c r="D14" s="14"/>
      <c r="E14" s="14"/>
      <c r="F14" s="98"/>
      <c r="G14" s="153">
        <f>Table6[[#This Row],[Vị thế đóng]]-Table6[[#This Row],[Commission]]</f>
        <v>0</v>
      </c>
      <c r="H14" s="24">
        <v>16.8</v>
      </c>
      <c r="I14" s="152"/>
      <c r="J14" s="45" t="s">
        <v>1315</v>
      </c>
      <c r="K14" t="s">
        <v>756</v>
      </c>
      <c r="L14" t="s">
        <v>1311</v>
      </c>
      <c r="M14" t="s">
        <v>1312</v>
      </c>
      <c r="O14" s="140" t="s">
        <v>975</v>
      </c>
      <c r="T14" s="12" t="s">
        <v>1148</v>
      </c>
      <c r="U14" s="12">
        <v>-3112</v>
      </c>
      <c r="V14" s="12">
        <v>0</v>
      </c>
      <c r="W14" s="12">
        <v>8</v>
      </c>
      <c r="X14" s="12">
        <f>1320.5-1408</f>
        <v>-87.5</v>
      </c>
      <c r="Y14" s="12">
        <f>1332.59-1415.43</f>
        <v>-82.840000000000146</v>
      </c>
      <c r="AA14" t="s">
        <v>1102</v>
      </c>
      <c r="AB14" t="s">
        <v>1070</v>
      </c>
      <c r="AC14" t="s">
        <v>266</v>
      </c>
    </row>
    <row r="15" spans="1:31" x14ac:dyDescent="0.35">
      <c r="A15" s="43">
        <v>44762</v>
      </c>
      <c r="B15" s="14" t="s">
        <v>1313</v>
      </c>
      <c r="C15" s="16">
        <f>13+59+15</f>
        <v>87</v>
      </c>
      <c r="D15" s="14">
        <v>1227</v>
      </c>
      <c r="E15" s="14"/>
      <c r="F15" s="98">
        <f>2840+1510+1590+1220</f>
        <v>7160</v>
      </c>
      <c r="G15" s="153">
        <f>Table6[[#This Row],[Vị thế đóng]]-Table6[[#This Row],[Commission]]</f>
        <v>7073</v>
      </c>
      <c r="H15" s="24">
        <v>9.3999999999998636</v>
      </c>
      <c r="I15" s="152"/>
      <c r="J15" s="45" t="s">
        <v>1314</v>
      </c>
      <c r="L15" t="s">
        <v>1307</v>
      </c>
      <c r="M15" t="s">
        <v>1309</v>
      </c>
      <c r="O15" s="140" t="s">
        <v>1026</v>
      </c>
      <c r="AA15" t="s">
        <v>1101</v>
      </c>
      <c r="AB15" t="s">
        <v>1071</v>
      </c>
    </row>
    <row r="16" spans="1:31" x14ac:dyDescent="0.35">
      <c r="A16" s="43">
        <v>44761</v>
      </c>
      <c r="B16" s="14" t="s">
        <v>1313</v>
      </c>
      <c r="C16" s="16">
        <v>20</v>
      </c>
      <c r="D16" s="14">
        <v>1213.5</v>
      </c>
      <c r="E16" s="14"/>
      <c r="F16" s="98">
        <v>-1200</v>
      </c>
      <c r="G16" s="153">
        <f>Table6[[#This Row],[Vị thế đóng]]-Table6[[#This Row],[Commission]]</f>
        <v>-1220</v>
      </c>
      <c r="H16" s="24">
        <v>8.3000000000001819</v>
      </c>
      <c r="I16" s="152"/>
      <c r="J16" s="45"/>
      <c r="L16" t="s">
        <v>1303</v>
      </c>
      <c r="M16" t="s">
        <v>1305</v>
      </c>
      <c r="AA16" t="s">
        <v>1100</v>
      </c>
      <c r="AB16" t="s">
        <v>1072</v>
      </c>
    </row>
    <row r="17" spans="1:28" x14ac:dyDescent="0.35">
      <c r="A17" s="43">
        <v>44760</v>
      </c>
      <c r="B17" s="14" t="s">
        <v>1313</v>
      </c>
      <c r="C17" s="16">
        <v>140</v>
      </c>
      <c r="D17" s="14">
        <v>1210.0999999999999</v>
      </c>
      <c r="E17" s="14"/>
      <c r="F17" s="98">
        <f>(15.4-10.1)*500</f>
        <v>2650.0000000000005</v>
      </c>
      <c r="G17" s="153">
        <f>Table6[[#This Row],[Vị thế đóng]]-Table6[[#This Row],[Commission]]</f>
        <v>2510.0000000000005</v>
      </c>
      <c r="H17" s="24">
        <v>8.7999999999999545</v>
      </c>
      <c r="I17" s="152"/>
      <c r="J17" s="45" t="s">
        <v>1310</v>
      </c>
      <c r="L17" t="s">
        <v>1296</v>
      </c>
      <c r="M17" t="s">
        <v>1297</v>
      </c>
      <c r="AA17" t="s">
        <v>1099</v>
      </c>
      <c r="AB17" t="s">
        <v>1073</v>
      </c>
    </row>
    <row r="18" spans="1:28" x14ac:dyDescent="0.35">
      <c r="A18" s="43">
        <v>44757</v>
      </c>
      <c r="B18" s="14" t="s">
        <v>969</v>
      </c>
      <c r="C18" s="16">
        <v>155</v>
      </c>
      <c r="D18" s="14">
        <v>1218.0999999999999</v>
      </c>
      <c r="E18" s="14"/>
      <c r="F18" s="98">
        <v>-4000</v>
      </c>
      <c r="G18" s="153">
        <f>Table6[[#This Row],[Vị thế đóng]]-Table6[[#This Row],[Commission]]</f>
        <v>-4155</v>
      </c>
      <c r="H18" s="24">
        <v>12.599999999999909</v>
      </c>
      <c r="I18" s="152">
        <v>10000</v>
      </c>
      <c r="J18" s="45" t="s">
        <v>1308</v>
      </c>
      <c r="L18" t="s">
        <v>1278</v>
      </c>
      <c r="M18" t="s">
        <v>1279</v>
      </c>
      <c r="AA18" t="s">
        <v>1098</v>
      </c>
      <c r="AB18" t="s">
        <v>1074</v>
      </c>
    </row>
    <row r="19" spans="1:28" x14ac:dyDescent="0.35">
      <c r="A19" s="43">
        <v>44756</v>
      </c>
      <c r="B19" s="166" t="s">
        <v>969</v>
      </c>
      <c r="C19" s="16">
        <v>155</v>
      </c>
      <c r="D19" s="14">
        <v>1210.4000000000001</v>
      </c>
      <c r="E19" s="14">
        <v>5</v>
      </c>
      <c r="F19" s="98">
        <v>1450</v>
      </c>
      <c r="G19" s="153">
        <f>Table6[[#This Row],[Vị thế đóng]]-Table6[[#This Row],[Commission]]</f>
        <v>1295</v>
      </c>
      <c r="H19" s="24">
        <v>13.5</v>
      </c>
      <c r="I19" s="152">
        <v>5000</v>
      </c>
      <c r="J19" s="45" t="s">
        <v>1304</v>
      </c>
      <c r="L19" t="s">
        <v>1269</v>
      </c>
      <c r="M19" t="s">
        <v>1274</v>
      </c>
      <c r="P19" s="13"/>
      <c r="Q19" s="12" t="s">
        <v>955</v>
      </c>
      <c r="R19" s="12" t="s">
        <v>877</v>
      </c>
      <c r="S19" s="136" t="s">
        <v>956</v>
      </c>
      <c r="AA19" t="s">
        <v>1097</v>
      </c>
      <c r="AB19" t="s">
        <v>1075</v>
      </c>
    </row>
    <row r="20" spans="1:28" x14ac:dyDescent="0.35">
      <c r="A20" s="43">
        <v>44755</v>
      </c>
      <c r="B20" s="14"/>
      <c r="C20" s="16"/>
      <c r="D20" s="14"/>
      <c r="E20" s="14"/>
      <c r="F20" s="98"/>
      <c r="G20" s="153">
        <f>Table6[[#This Row],[Vị thế đóng]]-Table6[[#This Row],[Commission]]</f>
        <v>0</v>
      </c>
      <c r="H20" s="24">
        <v>10.599999999999909</v>
      </c>
      <c r="I20" s="152"/>
      <c r="J20" s="45" t="s">
        <v>1245</v>
      </c>
      <c r="L20" t="s">
        <v>1264</v>
      </c>
      <c r="M20" t="s">
        <v>1268</v>
      </c>
      <c r="P20" s="13" t="s">
        <v>954</v>
      </c>
      <c r="Q20" s="12">
        <v>1536</v>
      </c>
      <c r="R20" s="12">
        <v>1202.82</v>
      </c>
      <c r="S20" s="65">
        <f>-(Q20-R20)/Q20</f>
        <v>-0.21691406250000003</v>
      </c>
      <c r="AA20" t="s">
        <v>1096</v>
      </c>
      <c r="AB20" t="s">
        <v>1076</v>
      </c>
    </row>
    <row r="21" spans="1:28" x14ac:dyDescent="0.35">
      <c r="A21" s="43">
        <v>44754</v>
      </c>
      <c r="B21" s="14"/>
      <c r="C21" s="16"/>
      <c r="D21" s="14"/>
      <c r="E21" s="14"/>
      <c r="F21" s="98"/>
      <c r="G21" s="153">
        <f>Table6[[#This Row],[Vị thế đóng]]-Table6[[#This Row],[Commission]]</f>
        <v>0</v>
      </c>
      <c r="H21" s="24">
        <v>14.099999999999909</v>
      </c>
      <c r="I21" s="152"/>
      <c r="J21" s="45" t="s">
        <v>1245</v>
      </c>
      <c r="L21" t="s">
        <v>1260</v>
      </c>
      <c r="M21" t="s">
        <v>1261</v>
      </c>
      <c r="P21" s="137" t="s">
        <v>957</v>
      </c>
      <c r="Q21" s="12">
        <v>1587</v>
      </c>
      <c r="R21" s="12">
        <v>1256.67</v>
      </c>
      <c r="S21" s="65">
        <f>-(Q21-R21)/Q21</f>
        <v>-0.20814744801512283</v>
      </c>
      <c r="AA21" t="s">
        <v>1095</v>
      </c>
      <c r="AB21" t="s">
        <v>266</v>
      </c>
    </row>
    <row r="22" spans="1:28" x14ac:dyDescent="0.35">
      <c r="A22" s="43">
        <v>44753</v>
      </c>
      <c r="B22" s="14" t="s">
        <v>825</v>
      </c>
      <c r="C22" s="16">
        <f>89.5</f>
        <v>89.5</v>
      </c>
      <c r="D22" s="14">
        <v>1225</v>
      </c>
      <c r="E22" s="14">
        <v>10</v>
      </c>
      <c r="F22" s="98">
        <v>5400</v>
      </c>
      <c r="G22" s="153">
        <f>Table6[[#This Row],[Vị thế đóng]]-Table6[[#This Row],[Commission]]</f>
        <v>5310.5</v>
      </c>
      <c r="H22" s="24">
        <v>24.700000000000045</v>
      </c>
      <c r="I22" s="152">
        <v>20000</v>
      </c>
      <c r="J22" s="45" t="s">
        <v>1298</v>
      </c>
      <c r="L22" t="s">
        <v>1256</v>
      </c>
      <c r="M22" t="s">
        <v>1258</v>
      </c>
      <c r="AA22" t="s">
        <v>1094</v>
      </c>
      <c r="AB22" t="s">
        <v>198</v>
      </c>
    </row>
    <row r="23" spans="1:28" x14ac:dyDescent="0.35">
      <c r="A23" s="43">
        <v>44750</v>
      </c>
      <c r="B23" s="14" t="s">
        <v>1280</v>
      </c>
      <c r="C23" s="16">
        <v>600</v>
      </c>
      <c r="D23" s="14">
        <v>1226</v>
      </c>
      <c r="E23" s="14">
        <v>10</v>
      </c>
      <c r="F23" s="98">
        <v>1700</v>
      </c>
      <c r="G23" s="153">
        <f>Table6[[#This Row],[Vị thế đóng]]-Table6[[#This Row],[Commission]]</f>
        <v>1100</v>
      </c>
      <c r="H23" s="24">
        <v>8.2999999999999545</v>
      </c>
      <c r="I23" s="152">
        <v>5500</v>
      </c>
      <c r="J23" s="45" t="s">
        <v>1295</v>
      </c>
      <c r="L23" t="s">
        <v>1252</v>
      </c>
      <c r="M23" t="s">
        <v>1253</v>
      </c>
      <c r="AA23" t="s">
        <v>1093</v>
      </c>
      <c r="AB23" t="s">
        <v>481</v>
      </c>
    </row>
    <row r="24" spans="1:28" ht="15" thickBot="1" x14ac:dyDescent="0.4">
      <c r="A24" s="43">
        <v>44749</v>
      </c>
      <c r="B24" s="14" t="s">
        <v>1280</v>
      </c>
      <c r="C24" s="16">
        <v>900</v>
      </c>
      <c r="D24" s="14">
        <v>1220</v>
      </c>
      <c r="E24" s="14">
        <v>10</v>
      </c>
      <c r="F24" s="98">
        <v>-3300</v>
      </c>
      <c r="G24" s="153">
        <f>Table6[[#This Row],[Vị thế đóng]]-Table6[[#This Row],[Commission]]</f>
        <v>-4200</v>
      </c>
      <c r="H24" s="24">
        <v>13.2</v>
      </c>
      <c r="I24" s="152">
        <v>10000</v>
      </c>
      <c r="J24" s="45" t="s">
        <v>1277</v>
      </c>
      <c r="L24" t="s">
        <v>1247</v>
      </c>
      <c r="M24" t="s">
        <v>1251</v>
      </c>
      <c r="AA24" t="s">
        <v>1092</v>
      </c>
      <c r="AB24" t="s">
        <v>529</v>
      </c>
    </row>
    <row r="25" spans="1:28" ht="15" thickBot="1" x14ac:dyDescent="0.4">
      <c r="A25" s="43">
        <v>44748</v>
      </c>
      <c r="B25" s="14" t="s">
        <v>825</v>
      </c>
      <c r="C25" s="16">
        <v>400</v>
      </c>
      <c r="D25" s="14">
        <v>1229.9000000000001</v>
      </c>
      <c r="E25" s="14">
        <v>10</v>
      </c>
      <c r="F25" s="98">
        <v>-1000</v>
      </c>
      <c r="G25" s="153">
        <f>Table6[[#This Row],[Vị thế đóng]]-Table6[[#This Row],[Commission]]</f>
        <v>-1400</v>
      </c>
      <c r="H25" s="24">
        <v>21.4</v>
      </c>
      <c r="I25" s="152">
        <v>25000</v>
      </c>
      <c r="J25" s="45" t="s">
        <v>1273</v>
      </c>
      <c r="L25" t="s">
        <v>1243</v>
      </c>
      <c r="M25" t="s">
        <v>1244</v>
      </c>
      <c r="P25" s="114" t="s">
        <v>872</v>
      </c>
      <c r="Q25" s="115"/>
      <c r="R25" s="117" t="s">
        <v>877</v>
      </c>
      <c r="S25" s="120">
        <v>44585</v>
      </c>
      <c r="T25" s="116">
        <v>44584</v>
      </c>
      <c r="AA25" t="s">
        <v>1091</v>
      </c>
      <c r="AB25" t="s">
        <v>451</v>
      </c>
    </row>
    <row r="26" spans="1:28" x14ac:dyDescent="0.35">
      <c r="A26" s="43">
        <v>44747</v>
      </c>
      <c r="B26" s="14" t="s">
        <v>969</v>
      </c>
      <c r="C26" s="16">
        <v>1110</v>
      </c>
      <c r="D26" s="14">
        <v>1245</v>
      </c>
      <c r="E26" s="14">
        <v>5</v>
      </c>
      <c r="F26" s="98">
        <v>-1120</v>
      </c>
      <c r="G26" s="153">
        <f>Table6[[#This Row],[Vị thế đóng]]-Table6[[#This Row],[Commission]]</f>
        <v>-2230</v>
      </c>
      <c r="H26" s="24">
        <v>17.899999999999999</v>
      </c>
      <c r="I26" s="152">
        <v>5000</v>
      </c>
      <c r="J26" s="45" t="s">
        <v>1267</v>
      </c>
      <c r="L26" t="s">
        <v>1237</v>
      </c>
      <c r="M26" t="s">
        <v>1238</v>
      </c>
      <c r="Q26" s="113" t="s">
        <v>1028</v>
      </c>
      <c r="R26" s="113">
        <v>20500</v>
      </c>
      <c r="S26" s="113">
        <v>27000</v>
      </c>
      <c r="T26" s="113">
        <v>27000</v>
      </c>
      <c r="AA26" t="s">
        <v>1090</v>
      </c>
      <c r="AB26" t="s">
        <v>1077</v>
      </c>
    </row>
    <row r="27" spans="1:28" x14ac:dyDescent="0.35">
      <c r="A27" s="43">
        <v>44746</v>
      </c>
      <c r="B27" s="14" t="s">
        <v>969</v>
      </c>
      <c r="C27" s="16">
        <v>1040</v>
      </c>
      <c r="D27" s="14">
        <v>1245</v>
      </c>
      <c r="E27" s="14">
        <v>5</v>
      </c>
      <c r="F27" s="98">
        <v>-1400</v>
      </c>
      <c r="G27" s="153">
        <f>Table6[[#This Row],[Vị thế đóng]]-Table6[[#This Row],[Commission]]</f>
        <v>-2440</v>
      </c>
      <c r="H27" s="24">
        <v>14</v>
      </c>
      <c r="I27" s="152">
        <v>5000</v>
      </c>
      <c r="J27" s="45" t="s">
        <v>1262</v>
      </c>
      <c r="L27" t="s">
        <v>1231</v>
      </c>
      <c r="M27" t="s">
        <v>1232</v>
      </c>
      <c r="Q27" s="12" t="s">
        <v>194</v>
      </c>
      <c r="R27" s="12">
        <v>54.89</v>
      </c>
      <c r="S27" s="12">
        <v>54.69</v>
      </c>
      <c r="T27" s="12">
        <v>54.69</v>
      </c>
      <c r="AA27" t="s">
        <v>1089</v>
      </c>
      <c r="AB27" t="s">
        <v>1078</v>
      </c>
    </row>
    <row r="28" spans="1:28" x14ac:dyDescent="0.35">
      <c r="A28" s="43">
        <v>44743</v>
      </c>
      <c r="B28" s="14" t="s">
        <v>825</v>
      </c>
      <c r="C28" s="16">
        <v>423.5</v>
      </c>
      <c r="D28" s="14">
        <v>1226</v>
      </c>
      <c r="E28" s="14">
        <v>5</v>
      </c>
      <c r="F28" s="98">
        <v>2610</v>
      </c>
      <c r="G28" s="153">
        <f>Table6[[#This Row],[Vị thế đóng]]-Table6[[#This Row],[Commission]]</f>
        <v>2186.5</v>
      </c>
      <c r="H28" s="24">
        <v>22</v>
      </c>
      <c r="I28" s="152">
        <v>3000</v>
      </c>
      <c r="J28" s="45" t="s">
        <v>1257</v>
      </c>
      <c r="L28" t="s">
        <v>1226</v>
      </c>
      <c r="M28" t="s">
        <v>1230</v>
      </c>
      <c r="Q28" s="12" t="s">
        <v>195</v>
      </c>
      <c r="R28" s="12">
        <f>$R$26*$R$27</f>
        <v>1125245</v>
      </c>
      <c r="S28" s="12">
        <v>1476630</v>
      </c>
      <c r="T28" s="12">
        <f>T26*T27</f>
        <v>1476630</v>
      </c>
      <c r="W28" s="145"/>
      <c r="X28" s="145"/>
      <c r="Y28" s="145"/>
      <c r="Z28" s="146"/>
      <c r="AA28" s="146" t="s">
        <v>1087</v>
      </c>
      <c r="AB28" t="s">
        <v>1079</v>
      </c>
    </row>
    <row r="29" spans="1:28" x14ac:dyDescent="0.35">
      <c r="A29" s="43">
        <v>44742</v>
      </c>
      <c r="B29" s="14" t="s">
        <v>969</v>
      </c>
      <c r="C29" s="16">
        <v>240</v>
      </c>
      <c r="D29" s="14">
        <v>1259.5</v>
      </c>
      <c r="E29" s="14">
        <v>5</v>
      </c>
      <c r="F29" s="98">
        <v>570</v>
      </c>
      <c r="G29" s="153">
        <f>Table6[[#This Row],[Vị thế đóng]]-Table6[[#This Row],[Commission]]</f>
        <v>330</v>
      </c>
      <c r="H29" s="24">
        <v>24.7</v>
      </c>
      <c r="I29" s="152">
        <v>5000</v>
      </c>
      <c r="J29" s="45" t="s">
        <v>1254</v>
      </c>
      <c r="L29" t="s">
        <v>1212</v>
      </c>
      <c r="M29" t="s">
        <v>1213</v>
      </c>
      <c r="Q29" s="12" t="s">
        <v>873</v>
      </c>
      <c r="R29" s="12">
        <v>45.2</v>
      </c>
      <c r="S29" s="12">
        <v>41.45</v>
      </c>
      <c r="T29" s="12">
        <v>44.55</v>
      </c>
      <c r="W29" s="145"/>
      <c r="X29" s="145"/>
      <c r="Y29" s="145"/>
      <c r="Z29" s="146"/>
      <c r="AA29" s="146" t="s">
        <v>1086</v>
      </c>
      <c r="AB29" t="s">
        <v>1080</v>
      </c>
    </row>
    <row r="30" spans="1:28" x14ac:dyDescent="0.35">
      <c r="A30" s="43">
        <v>44741</v>
      </c>
      <c r="B30" s="14"/>
      <c r="C30" s="16"/>
      <c r="D30" s="14"/>
      <c r="E30" s="14"/>
      <c r="F30" s="98"/>
      <c r="G30" s="153">
        <f>Table6[[#This Row],[Vị thế đóng]]-Table6[[#This Row],[Commission]]</f>
        <v>0</v>
      </c>
      <c r="H30" s="24">
        <v>11.8</v>
      </c>
      <c r="I30" s="152"/>
      <c r="J30" s="45" t="s">
        <v>1245</v>
      </c>
      <c r="L30" t="s">
        <v>1209</v>
      </c>
      <c r="M30" t="s">
        <v>1210</v>
      </c>
      <c r="Q30" s="12" t="s">
        <v>874</v>
      </c>
      <c r="R30" s="12">
        <f>$R$26*$R$29</f>
        <v>926600.00000000012</v>
      </c>
      <c r="S30" s="12">
        <v>1119150</v>
      </c>
      <c r="T30" s="12">
        <v>1202850</v>
      </c>
      <c r="W30" s="145"/>
      <c r="X30" s="145"/>
      <c r="Y30" s="145"/>
      <c r="Z30" s="146"/>
      <c r="AA30" s="146" t="s">
        <v>1088</v>
      </c>
      <c r="AB30" s="157" t="s">
        <v>196</v>
      </c>
    </row>
    <row r="31" spans="1:28" x14ac:dyDescent="0.35">
      <c r="A31" s="43">
        <v>44740</v>
      </c>
      <c r="B31" s="14"/>
      <c r="C31" s="16"/>
      <c r="D31" s="14"/>
      <c r="E31" s="14"/>
      <c r="F31" s="98"/>
      <c r="G31" s="153">
        <f>Table6[[#This Row],[Vị thế đóng]]-Table6[[#This Row],[Commission]]</f>
        <v>0</v>
      </c>
      <c r="H31" s="24">
        <v>23.8</v>
      </c>
      <c r="I31" s="152"/>
      <c r="J31" s="45" t="s">
        <v>1245</v>
      </c>
      <c r="L31" t="s">
        <v>1126</v>
      </c>
      <c r="M31" t="s">
        <v>1205</v>
      </c>
      <c r="Q31" s="12" t="s">
        <v>878</v>
      </c>
      <c r="R31" s="17">
        <f>CK!$I$89-CK!$D$88-CK!$D$89</f>
        <v>-24072.586444444441</v>
      </c>
      <c r="S31" s="17">
        <v>-16819.468888888889</v>
      </c>
      <c r="T31" s="17">
        <v>-16819.468888888889</v>
      </c>
      <c r="W31" s="145"/>
      <c r="X31" s="145"/>
      <c r="Y31" s="145"/>
      <c r="Z31" s="146"/>
      <c r="AA31" s="146" t="s">
        <v>1085</v>
      </c>
      <c r="AB31" s="157" t="s">
        <v>1081</v>
      </c>
    </row>
    <row r="32" spans="1:28" x14ac:dyDescent="0.35">
      <c r="A32" s="43">
        <v>44739</v>
      </c>
      <c r="B32" s="14" t="s">
        <v>969</v>
      </c>
      <c r="C32" s="16">
        <f>40.6</f>
        <v>40.6</v>
      </c>
      <c r="D32" s="14">
        <v>1227</v>
      </c>
      <c r="E32" s="14">
        <v>4</v>
      </c>
      <c r="F32" s="98">
        <v>6540</v>
      </c>
      <c r="G32" s="153">
        <f>Table6[[#This Row],[Vị thế đóng]]-Table6[[#This Row],[Commission]]</f>
        <v>6499.4</v>
      </c>
      <c r="H32" s="24">
        <v>13.9</v>
      </c>
      <c r="I32" s="152">
        <v>5000</v>
      </c>
      <c r="J32" s="45" t="s">
        <v>1239</v>
      </c>
      <c r="L32" t="s">
        <v>1197</v>
      </c>
      <c r="M32" t="s">
        <v>1198</v>
      </c>
      <c r="Q32" s="12"/>
      <c r="R32" s="12"/>
      <c r="S32" s="12"/>
      <c r="T32" s="12"/>
      <c r="W32" s="145"/>
      <c r="X32" s="145"/>
      <c r="Y32" s="145"/>
      <c r="Z32" s="146"/>
      <c r="AA32" s="146"/>
    </row>
    <row r="33" spans="1:27" x14ac:dyDescent="0.35">
      <c r="A33" s="43">
        <v>44736</v>
      </c>
      <c r="B33" s="14" t="s">
        <v>969</v>
      </c>
      <c r="C33" s="16">
        <f>150+150</f>
        <v>300</v>
      </c>
      <c r="D33" s="14">
        <v>1236.4000000000001</v>
      </c>
      <c r="E33" s="14">
        <v>5</v>
      </c>
      <c r="F33" s="98">
        <f>-550-4150</f>
        <v>-4700</v>
      </c>
      <c r="G33" s="153">
        <f>Table6[[#This Row],[Vị thế đóng]]-Table6[[#This Row],[Commission]]</f>
        <v>-5000</v>
      </c>
      <c r="H33" s="24">
        <v>11.9</v>
      </c>
      <c r="I33" s="152">
        <v>10000</v>
      </c>
      <c r="J33" s="45" t="s">
        <v>1233</v>
      </c>
      <c r="L33" t="s">
        <v>1127</v>
      </c>
      <c r="M33" t="s">
        <v>1190</v>
      </c>
      <c r="Q33" s="12" t="s">
        <v>875</v>
      </c>
      <c r="R33" s="17">
        <f>$R$30-$R$28+$R$31</f>
        <v>-222717.58644444431</v>
      </c>
      <c r="S33" s="17">
        <v>-374299.46888888889</v>
      </c>
      <c r="T33" s="17">
        <f>T30-T28+T31</f>
        <v>-290599.46888888889</v>
      </c>
      <c r="W33" s="145"/>
      <c r="X33" s="145"/>
      <c r="Y33" s="145"/>
      <c r="Z33" s="146"/>
      <c r="AA33" s="146"/>
    </row>
    <row r="34" spans="1:27" x14ac:dyDescent="0.35">
      <c r="A34" s="43">
        <v>44735</v>
      </c>
      <c r="B34" s="14" t="s">
        <v>969</v>
      </c>
      <c r="C34" s="16">
        <v>323</v>
      </c>
      <c r="D34" s="14">
        <v>1222</v>
      </c>
      <c r="E34" s="14">
        <v>5</v>
      </c>
      <c r="F34" s="98">
        <f>800+1350+660+320+690</f>
        <v>3820</v>
      </c>
      <c r="G34" s="153">
        <f>Table6[[#This Row],[Vị thế đóng]]-Table6[[#This Row],[Commission]]</f>
        <v>3497</v>
      </c>
      <c r="H34" s="24">
        <v>14</v>
      </c>
      <c r="I34" s="152">
        <v>10000</v>
      </c>
      <c r="J34" s="45" t="s">
        <v>1229</v>
      </c>
      <c r="L34" t="s">
        <v>1188</v>
      </c>
      <c r="M34" t="s">
        <v>1189</v>
      </c>
      <c r="Q34" s="12"/>
      <c r="R34" s="12"/>
      <c r="S34" s="12"/>
      <c r="T34" s="12"/>
    </row>
    <row r="35" spans="1:27" x14ac:dyDescent="0.35">
      <c r="A35" s="43">
        <v>44734</v>
      </c>
      <c r="B35" s="14" t="s">
        <v>969</v>
      </c>
      <c r="C35" s="16">
        <f>1050+150</f>
        <v>1200</v>
      </c>
      <c r="D35" s="14">
        <v>1238.3</v>
      </c>
      <c r="E35" s="14">
        <v>5</v>
      </c>
      <c r="F35" s="98">
        <f>4470+7750</f>
        <v>12220</v>
      </c>
      <c r="G35" s="153">
        <f>Table6[[#This Row],[Vị thế đóng]]-Table6[[#This Row],[Commission]]</f>
        <v>11020</v>
      </c>
      <c r="H35" s="24">
        <v>24.9</v>
      </c>
      <c r="I35" s="152">
        <v>10000</v>
      </c>
      <c r="J35" s="45" t="s">
        <v>1215</v>
      </c>
      <c r="L35" t="s">
        <v>1183</v>
      </c>
      <c r="M35" t="s">
        <v>1184</v>
      </c>
      <c r="P35" s="119" t="s">
        <v>876</v>
      </c>
      <c r="Q35" s="118">
        <f>(R33+R28)/R28</f>
        <v>0.80207191638759179</v>
      </c>
      <c r="R35" s="118">
        <v>0.74651776755931487</v>
      </c>
      <c r="S35" s="118">
        <f>(T33+T28)/T28</f>
        <v>0.80320089061654654</v>
      </c>
    </row>
    <row r="36" spans="1:27" x14ac:dyDescent="0.35">
      <c r="A36" s="43">
        <v>44733</v>
      </c>
      <c r="B36" s="14" t="s">
        <v>969</v>
      </c>
      <c r="C36" s="16">
        <v>151</v>
      </c>
      <c r="D36" s="14">
        <v>1218</v>
      </c>
      <c r="E36" s="14">
        <v>5</v>
      </c>
      <c r="F36" s="98">
        <v>2700</v>
      </c>
      <c r="G36" s="153">
        <f>Table6[[#This Row],[Vị thế đóng]]-Table6[[#This Row],[Commission]]</f>
        <v>2549</v>
      </c>
      <c r="H36" s="24">
        <v>29.5</v>
      </c>
      <c r="I36" s="152">
        <v>5000</v>
      </c>
      <c r="J36" s="45" t="s">
        <v>1208</v>
      </c>
      <c r="L36" t="s">
        <v>1179</v>
      </c>
      <c r="M36" t="s">
        <v>1182</v>
      </c>
    </row>
    <row r="37" spans="1:27" x14ac:dyDescent="0.35">
      <c r="A37" s="43">
        <v>44732</v>
      </c>
      <c r="B37" s="14" t="s">
        <v>825</v>
      </c>
      <c r="C37" s="16">
        <v>1077</v>
      </c>
      <c r="D37" s="14">
        <v>1244.8</v>
      </c>
      <c r="E37" s="14">
        <v>5</v>
      </c>
      <c r="F37" s="98">
        <v>4600</v>
      </c>
      <c r="G37" s="153">
        <f>Table6[[#This Row],[Vị thế đóng]]-Table6[[#This Row],[Commission]]</f>
        <v>3523</v>
      </c>
      <c r="H37" s="24">
        <v>37.4</v>
      </c>
      <c r="I37" s="152">
        <v>5000</v>
      </c>
      <c r="J37" s="45" t="s">
        <v>1206</v>
      </c>
      <c r="L37" t="s">
        <v>1174</v>
      </c>
      <c r="M37" t="s">
        <v>1175</v>
      </c>
      <c r="P37" s="147" t="s">
        <v>1027</v>
      </c>
    </row>
    <row r="38" spans="1:27" x14ac:dyDescent="0.35">
      <c r="A38" s="43">
        <v>44729</v>
      </c>
      <c r="B38" s="14" t="s">
        <v>825</v>
      </c>
      <c r="C38" s="16">
        <v>606</v>
      </c>
      <c r="D38" s="14">
        <v>1247</v>
      </c>
      <c r="E38" s="14">
        <v>10</v>
      </c>
      <c r="F38" s="98">
        <v>1800</v>
      </c>
      <c r="G38" s="153">
        <f>Table6[[#This Row],[Vị thế đóng]]-Table6[[#This Row],[Commission]]</f>
        <v>1194</v>
      </c>
      <c r="H38" s="24">
        <v>33.799999999999997</v>
      </c>
      <c r="I38" s="152">
        <v>20000</v>
      </c>
      <c r="J38" s="45" t="s">
        <v>1199</v>
      </c>
      <c r="L38" t="s">
        <v>1169</v>
      </c>
      <c r="M38" t="s">
        <v>1171</v>
      </c>
      <c r="P38" s="147" t="s">
        <v>1019</v>
      </c>
      <c r="U38" s="147" t="s">
        <v>1020</v>
      </c>
    </row>
    <row r="39" spans="1:27" x14ac:dyDescent="0.35">
      <c r="A39" s="43">
        <v>44728</v>
      </c>
      <c r="B39" s="14" t="s">
        <v>1160</v>
      </c>
      <c r="C39" s="16">
        <v>90</v>
      </c>
      <c r="D39" s="14">
        <v>1251</v>
      </c>
      <c r="E39" s="14">
        <v>1</v>
      </c>
      <c r="F39" s="98">
        <v>-1860</v>
      </c>
      <c r="G39" s="153">
        <f>Table6[[#This Row],[Vị thế đóng]]-Table6[[#This Row],[Commission]]</f>
        <v>-1950</v>
      </c>
      <c r="H39" s="24">
        <v>25.8</v>
      </c>
      <c r="I39" s="152">
        <v>5000</v>
      </c>
      <c r="J39" s="45" t="s">
        <v>1191</v>
      </c>
      <c r="L39" t="s">
        <v>1163</v>
      </c>
      <c r="M39" t="s">
        <v>1167</v>
      </c>
      <c r="P39" s="143" t="s">
        <v>1007</v>
      </c>
    </row>
    <row r="40" spans="1:27" x14ac:dyDescent="0.35">
      <c r="A40" s="43">
        <v>44727</v>
      </c>
      <c r="B40" s="14" t="s">
        <v>825</v>
      </c>
      <c r="C40" s="16">
        <v>2130</v>
      </c>
      <c r="D40" s="14">
        <v>1268.3</v>
      </c>
      <c r="E40" s="14">
        <v>10</v>
      </c>
      <c r="F40" s="98">
        <v>4260</v>
      </c>
      <c r="G40" s="153">
        <f>Table6[[#This Row],[Vị thế đóng]]-Table6[[#This Row],[Commission]]</f>
        <v>2130</v>
      </c>
      <c r="H40" s="24">
        <v>35.200000000000003</v>
      </c>
      <c r="I40" s="152">
        <v>10000</v>
      </c>
      <c r="J40" s="45" t="s">
        <v>1187</v>
      </c>
      <c r="L40" t="s">
        <v>1159</v>
      </c>
      <c r="M40" t="s">
        <v>1162</v>
      </c>
      <c r="P40" s="144" t="s">
        <v>1017</v>
      </c>
      <c r="U40" s="144" t="s">
        <v>1018</v>
      </c>
    </row>
    <row r="41" spans="1:27" x14ac:dyDescent="0.35">
      <c r="A41" s="43">
        <v>44726</v>
      </c>
      <c r="B41" s="14" t="s">
        <v>825</v>
      </c>
      <c r="C41" s="16">
        <f>300+300+300+300</f>
        <v>1200</v>
      </c>
      <c r="D41" s="14">
        <v>1250</v>
      </c>
      <c r="E41" s="14">
        <v>10</v>
      </c>
      <c r="F41" s="98">
        <v>830</v>
      </c>
      <c r="G41" s="153">
        <f>Table6[[#This Row],[Vị thế đóng]]-Table6[[#This Row],[Commission]]</f>
        <v>-370</v>
      </c>
      <c r="H41" s="24">
        <v>22.5</v>
      </c>
      <c r="I41" s="152">
        <v>20000</v>
      </c>
      <c r="J41" s="45" t="s">
        <v>1185</v>
      </c>
      <c r="L41" t="s">
        <v>1156</v>
      </c>
      <c r="M41" t="s">
        <v>1158</v>
      </c>
      <c r="P41" s="143" t="s">
        <v>1008</v>
      </c>
      <c r="U41" s="143" t="s">
        <v>996</v>
      </c>
    </row>
    <row r="42" spans="1:27" x14ac:dyDescent="0.35">
      <c r="A42" s="43">
        <v>44725</v>
      </c>
      <c r="B42" s="14" t="s">
        <v>825</v>
      </c>
      <c r="C42" s="16">
        <f>750+150</f>
        <v>900</v>
      </c>
      <c r="D42" s="14">
        <v>1279</v>
      </c>
      <c r="E42" s="14">
        <v>10</v>
      </c>
      <c r="F42" s="98">
        <v>8170</v>
      </c>
      <c r="G42" s="153">
        <f>Table6[[#This Row],[Vị thế đóng]]-Table6[[#This Row],[Commission]]</f>
        <v>7270</v>
      </c>
      <c r="H42" s="24">
        <v>39.6</v>
      </c>
      <c r="I42" s="152">
        <v>10000</v>
      </c>
      <c r="J42" s="45" t="s">
        <v>1180</v>
      </c>
      <c r="L42" t="s">
        <v>1152</v>
      </c>
      <c r="M42" t="s">
        <v>1154</v>
      </c>
      <c r="P42" s="143"/>
      <c r="U42" s="143" t="s">
        <v>997</v>
      </c>
    </row>
    <row r="43" spans="1:27" x14ac:dyDescent="0.35">
      <c r="A43" s="43">
        <v>44722</v>
      </c>
      <c r="B43" s="14" t="s">
        <v>825</v>
      </c>
      <c r="C43" s="16">
        <v>613.5</v>
      </c>
      <c r="D43" s="14">
        <v>1328</v>
      </c>
      <c r="E43" s="14">
        <v>10</v>
      </c>
      <c r="F43" s="98">
        <v>900</v>
      </c>
      <c r="G43" s="153">
        <f>Table6[[#This Row],[Vị thế đóng]]-Table6[[#This Row],[Commission]]</f>
        <v>286.5</v>
      </c>
      <c r="H43" s="24">
        <v>22.7</v>
      </c>
      <c r="I43" s="152">
        <v>20000</v>
      </c>
      <c r="J43" s="45" t="s">
        <v>1173</v>
      </c>
      <c r="L43" t="s">
        <v>1144</v>
      </c>
      <c r="M43" t="s">
        <v>1146</v>
      </c>
      <c r="P43" s="143"/>
      <c r="U43" s="143" t="s">
        <v>998</v>
      </c>
    </row>
    <row r="44" spans="1:27" x14ac:dyDescent="0.35">
      <c r="A44" s="43">
        <v>44721</v>
      </c>
      <c r="B44" s="14" t="s">
        <v>1170</v>
      </c>
      <c r="C44" s="16">
        <f>338</f>
        <v>338</v>
      </c>
      <c r="D44" s="14">
        <v>1332.5</v>
      </c>
      <c r="E44" s="14">
        <v>5</v>
      </c>
      <c r="F44" s="98">
        <f>700+1400+90</f>
        <v>2190</v>
      </c>
      <c r="G44" s="153">
        <f>Table6[[#This Row],[Vị thế đóng]]-Table6[[#This Row],[Commission]]</f>
        <v>1852</v>
      </c>
      <c r="H44" s="24">
        <v>12</v>
      </c>
      <c r="I44" s="152">
        <v>10000</v>
      </c>
      <c r="J44" s="45" t="s">
        <v>1172</v>
      </c>
      <c r="L44" s="106" t="s">
        <v>1140</v>
      </c>
      <c r="M44" t="s">
        <v>1141</v>
      </c>
      <c r="P44" s="143" t="s">
        <v>1009</v>
      </c>
      <c r="U44" s="143" t="s">
        <v>999</v>
      </c>
    </row>
    <row r="45" spans="1:27" x14ac:dyDescent="0.35">
      <c r="A45" s="43">
        <v>44720</v>
      </c>
      <c r="B45" s="14" t="s">
        <v>969</v>
      </c>
      <c r="C45" s="16">
        <v>337</v>
      </c>
      <c r="D45" s="14">
        <v>1322</v>
      </c>
      <c r="E45" s="14">
        <v>5</v>
      </c>
      <c r="F45" s="98">
        <v>1460</v>
      </c>
      <c r="G45" s="153">
        <f>Table6[[#This Row],[Vị thế đóng]]-Table6[[#This Row],[Commission]]</f>
        <v>1123</v>
      </c>
      <c r="H45" s="24">
        <v>22.2</v>
      </c>
      <c r="I45" s="152">
        <v>5000</v>
      </c>
      <c r="J45" s="45" t="s">
        <v>1166</v>
      </c>
      <c r="L45" t="s">
        <v>1132</v>
      </c>
      <c r="M45" t="s">
        <v>1135</v>
      </c>
      <c r="P45" s="143"/>
      <c r="U45" s="143" t="s">
        <v>1000</v>
      </c>
    </row>
    <row r="46" spans="1:27" x14ac:dyDescent="0.35">
      <c r="A46" s="43">
        <v>44719</v>
      </c>
      <c r="B46" s="14" t="s">
        <v>1160</v>
      </c>
      <c r="C46" s="16">
        <v>91</v>
      </c>
      <c r="D46" s="14">
        <v>1303</v>
      </c>
      <c r="E46" s="14">
        <v>2</v>
      </c>
      <c r="F46" s="98">
        <f>-600+700</f>
        <v>100</v>
      </c>
      <c r="G46" s="153">
        <f>Table6[[#This Row],[Vị thế đóng]]-Table6[[#This Row],[Commission]]</f>
        <v>9</v>
      </c>
      <c r="H46" s="24">
        <v>22.2</v>
      </c>
      <c r="I46" s="152">
        <v>1000</v>
      </c>
      <c r="J46" s="45" t="s">
        <v>1161</v>
      </c>
      <c r="L46" t="s">
        <v>1123</v>
      </c>
      <c r="M46" t="s">
        <v>1129</v>
      </c>
      <c r="P46" s="143"/>
      <c r="U46" s="143" t="s">
        <v>1001</v>
      </c>
    </row>
    <row r="47" spans="1:27" x14ac:dyDescent="0.35">
      <c r="A47" s="43">
        <v>44718</v>
      </c>
      <c r="B47" s="14" t="s">
        <v>825</v>
      </c>
      <c r="C47" s="16">
        <v>153</v>
      </c>
      <c r="D47" s="14">
        <v>1321</v>
      </c>
      <c r="E47" s="14">
        <v>5</v>
      </c>
      <c r="F47" s="98">
        <v>1250</v>
      </c>
      <c r="G47" s="153">
        <f>Table6[[#This Row],[Vị thế đóng]]-Table6[[#This Row],[Commission]]</f>
        <v>1097</v>
      </c>
      <c r="H47" s="24">
        <v>17</v>
      </c>
      <c r="I47" s="152">
        <v>10000</v>
      </c>
      <c r="J47" s="45" t="s">
        <v>1157</v>
      </c>
      <c r="L47" t="s">
        <v>1117</v>
      </c>
      <c r="M47" t="s">
        <v>1118</v>
      </c>
      <c r="P47" s="143" t="s">
        <v>1010</v>
      </c>
      <c r="U47" s="143" t="s">
        <v>1002</v>
      </c>
    </row>
    <row r="48" spans="1:27" x14ac:dyDescent="0.35">
      <c r="A48" s="43">
        <v>44715</v>
      </c>
      <c r="B48" s="14" t="s">
        <v>969</v>
      </c>
      <c r="C48" s="16">
        <v>152.69999999999999</v>
      </c>
      <c r="D48" s="14">
        <v>1317.2</v>
      </c>
      <c r="E48" s="14">
        <v>5</v>
      </c>
      <c r="F48" s="98">
        <v>1150</v>
      </c>
      <c r="G48" s="153">
        <f>Table6[[#This Row],[Vị thế đóng]]-Table6[[#This Row],[Commission]]</f>
        <v>997.3</v>
      </c>
      <c r="H48" s="24">
        <v>18.3</v>
      </c>
      <c r="I48" s="152">
        <v>10000</v>
      </c>
      <c r="J48" s="45" t="s">
        <v>1153</v>
      </c>
      <c r="L48" t="s">
        <v>1049</v>
      </c>
      <c r="M48" t="s">
        <v>1050</v>
      </c>
      <c r="P48" s="143" t="s">
        <v>1011</v>
      </c>
    </row>
    <row r="49" spans="1:21" x14ac:dyDescent="0.35">
      <c r="A49" s="43">
        <v>44714</v>
      </c>
      <c r="B49" s="14" t="s">
        <v>825</v>
      </c>
      <c r="C49" s="16">
        <v>306.5</v>
      </c>
      <c r="D49" s="14">
        <v>1327</v>
      </c>
      <c r="E49" s="14">
        <v>5</v>
      </c>
      <c r="F49" s="98">
        <v>2350</v>
      </c>
      <c r="G49" s="153">
        <f>Table6[[#This Row],[Vị thế đóng]]-Table6[[#This Row],[Commission]]</f>
        <v>2043.5</v>
      </c>
      <c r="H49" s="24">
        <v>19</v>
      </c>
      <c r="I49" s="152">
        <v>5000</v>
      </c>
      <c r="J49" s="45" t="s">
        <v>1145</v>
      </c>
      <c r="P49" s="143" t="s">
        <v>1012</v>
      </c>
      <c r="U49" s="143" t="s">
        <v>1003</v>
      </c>
    </row>
    <row r="50" spans="1:21" x14ac:dyDescent="0.35">
      <c r="A50" s="43">
        <v>44713</v>
      </c>
      <c r="B50" s="14" t="s">
        <v>825</v>
      </c>
      <c r="C50" s="16">
        <f>153.5+100</f>
        <v>253.5</v>
      </c>
      <c r="D50" s="14">
        <v>1332</v>
      </c>
      <c r="E50" s="14">
        <v>5</v>
      </c>
      <c r="F50" s="98">
        <v>3150</v>
      </c>
      <c r="G50" s="153">
        <f>Table6[[#This Row],[Vị thế đóng]]-Table6[[#This Row],[Commission]]</f>
        <v>2896.5</v>
      </c>
      <c r="H50" s="24">
        <v>21.5</v>
      </c>
      <c r="I50" s="152">
        <v>5000</v>
      </c>
      <c r="J50" s="45" t="s">
        <v>1142</v>
      </c>
      <c r="P50" s="143" t="s">
        <v>1013</v>
      </c>
      <c r="U50" s="143" t="s">
        <v>1004</v>
      </c>
    </row>
    <row r="51" spans="1:21" x14ac:dyDescent="0.35">
      <c r="A51" s="43">
        <v>44712</v>
      </c>
      <c r="B51" s="14"/>
      <c r="C51" s="16"/>
      <c r="D51" s="14"/>
      <c r="E51" s="14"/>
      <c r="F51" s="98"/>
      <c r="G51" s="153"/>
      <c r="H51" s="24">
        <v>16.3</v>
      </c>
      <c r="I51" s="152"/>
      <c r="J51" s="45" t="s">
        <v>1137</v>
      </c>
      <c r="P51" s="143" t="s">
        <v>996</v>
      </c>
      <c r="U51" s="143" t="s">
        <v>1005</v>
      </c>
    </row>
    <row r="52" spans="1:21" x14ac:dyDescent="0.35">
      <c r="A52" s="43">
        <v>44711</v>
      </c>
      <c r="B52" s="14" t="s">
        <v>969</v>
      </c>
      <c r="C52" s="16">
        <f>306.5+306.5+51</f>
        <v>664</v>
      </c>
      <c r="D52" s="14">
        <v>1326.6</v>
      </c>
      <c r="E52" s="14">
        <v>20</v>
      </c>
      <c r="F52" s="98">
        <f>-(1326.6-1317.9)*20*100</f>
        <v>-17399.999999999636</v>
      </c>
      <c r="G52" s="153">
        <f>Table6[[#This Row],[Vị thế đóng]]-Table6[[#This Row],[Commission]]</f>
        <v>-18063.999999999636</v>
      </c>
      <c r="H52" s="24">
        <v>11.4</v>
      </c>
      <c r="I52" s="152">
        <f>-(1326.6-1310)*20*100</f>
        <v>-33199.999999999818</v>
      </c>
      <c r="J52" s="45" t="s">
        <v>1136</v>
      </c>
      <c r="P52" s="143" t="s">
        <v>1014</v>
      </c>
      <c r="U52" s="143"/>
    </row>
    <row r="53" spans="1:21" x14ac:dyDescent="0.35">
      <c r="A53" s="43">
        <v>44708</v>
      </c>
      <c r="B53" s="14" t="s">
        <v>969</v>
      </c>
      <c r="C53" s="16">
        <f>152+152.5+152.5</f>
        <v>457</v>
      </c>
      <c r="D53" s="14">
        <v>1306</v>
      </c>
      <c r="E53" s="14">
        <v>5</v>
      </c>
      <c r="F53" s="98">
        <f>1150+600+800</f>
        <v>2550</v>
      </c>
      <c r="G53" s="153">
        <f>Table6[[#This Row],[Vị thế đóng]]-Table6[[#This Row],[Commission]]</f>
        <v>2093</v>
      </c>
      <c r="H53" s="24">
        <v>23.7</v>
      </c>
      <c r="I53" s="152">
        <f>5*20*100</f>
        <v>10000</v>
      </c>
      <c r="J53" s="45" t="s">
        <v>1125</v>
      </c>
      <c r="P53" s="143" t="s">
        <v>1015</v>
      </c>
      <c r="U53" s="143"/>
    </row>
    <row r="54" spans="1:21" x14ac:dyDescent="0.35">
      <c r="A54" s="43">
        <v>44707</v>
      </c>
      <c r="B54" s="14" t="s">
        <v>825</v>
      </c>
      <c r="C54" s="16">
        <f>303.5+151+151.5</f>
        <v>606</v>
      </c>
      <c r="D54" s="14">
        <v>1302</v>
      </c>
      <c r="E54" s="14">
        <v>5</v>
      </c>
      <c r="F54" s="98">
        <f>450+1350+500+800</f>
        <v>3100</v>
      </c>
      <c r="G54" s="153">
        <f>Table6[[#This Row],[Vị thế đóng]]-Table6[[#This Row],[Commission]]</f>
        <v>2494</v>
      </c>
      <c r="H54" s="24">
        <v>18.399999999999999</v>
      </c>
      <c r="I54" s="152">
        <f t="shared" ref="I54:I58" si="0">5*20*100</f>
        <v>10000</v>
      </c>
      <c r="J54" s="45" t="s">
        <v>1119</v>
      </c>
      <c r="P54" s="143"/>
      <c r="U54" s="143" t="s">
        <v>1006</v>
      </c>
    </row>
    <row r="55" spans="1:21" x14ac:dyDescent="0.35">
      <c r="A55" s="43">
        <v>44706</v>
      </c>
      <c r="B55" s="14" t="s">
        <v>825</v>
      </c>
      <c r="C55" s="16">
        <v>303</v>
      </c>
      <c r="D55" s="14">
        <v>1300</v>
      </c>
      <c r="E55" s="14">
        <v>5</v>
      </c>
      <c r="F55" s="98">
        <v>3200</v>
      </c>
      <c r="G55" s="153">
        <f>Table6[[#This Row],[Vị thế đóng]]-Table6[[#This Row],[Commission]]</f>
        <v>2897</v>
      </c>
      <c r="H55" s="24">
        <v>37.5</v>
      </c>
      <c r="I55" s="152">
        <f t="shared" si="0"/>
        <v>10000</v>
      </c>
      <c r="J55" s="45" t="s">
        <v>1116</v>
      </c>
      <c r="P55" s="143" t="s">
        <v>1016</v>
      </c>
    </row>
    <row r="56" spans="1:21" x14ac:dyDescent="0.35">
      <c r="A56" s="43">
        <v>44698</v>
      </c>
      <c r="B56" s="14" t="s">
        <v>969</v>
      </c>
      <c r="C56" s="16">
        <f>150+150+150</f>
        <v>450</v>
      </c>
      <c r="D56" s="14">
        <v>1219</v>
      </c>
      <c r="E56" s="14">
        <v>5</v>
      </c>
      <c r="F56" s="98">
        <f>430+250+590</f>
        <v>1270</v>
      </c>
      <c r="G56" s="153">
        <f>Table6[[#This Row],[Vị thế đóng]]-Table6[[#This Row],[Commission]]</f>
        <v>820</v>
      </c>
      <c r="H56" s="24">
        <v>75.7</v>
      </c>
      <c r="I56" s="152">
        <f t="shared" si="0"/>
        <v>10000</v>
      </c>
      <c r="J56" s="45" t="s">
        <v>1051</v>
      </c>
    </row>
    <row r="57" spans="1:21" x14ac:dyDescent="0.35">
      <c r="A57" s="43">
        <v>44697</v>
      </c>
      <c r="B57" s="14" t="s">
        <v>825</v>
      </c>
      <c r="C57" s="16">
        <f>300+150+150</f>
        <v>600</v>
      </c>
      <c r="D57" s="14">
        <v>1244</v>
      </c>
      <c r="E57" s="14">
        <v>5</v>
      </c>
      <c r="F57" s="98">
        <f>300-1950-2050+(1259-1252.4)*1*100+4680+1040</f>
        <v>2679.9999999999909</v>
      </c>
      <c r="G57" s="153">
        <f>Table6[[#This Row],[Vị thế đóng]]-Table6[[#This Row],[Commission]]</f>
        <v>2079.9999999999909</v>
      </c>
      <c r="H57" s="24">
        <v>49.9</v>
      </c>
      <c r="I57" s="152">
        <f t="shared" si="0"/>
        <v>10000</v>
      </c>
      <c r="J57" s="45" t="s">
        <v>1047</v>
      </c>
    </row>
    <row r="58" spans="1:21" x14ac:dyDescent="0.35">
      <c r="A58" s="43">
        <v>44694</v>
      </c>
      <c r="B58" s="14" t="s">
        <v>969</v>
      </c>
      <c r="C58" s="16">
        <v>150</v>
      </c>
      <c r="D58" s="14">
        <v>1276</v>
      </c>
      <c r="E58" s="14">
        <v>5</v>
      </c>
      <c r="F58" s="98">
        <v>3150</v>
      </c>
      <c r="G58" s="153">
        <f>Table6[[#This Row],[Vị thế đóng]]-Table6[[#This Row],[Commission]]</f>
        <v>3000</v>
      </c>
      <c r="H58" s="24">
        <v>73.400000000000006</v>
      </c>
      <c r="I58" s="152">
        <f t="shared" si="0"/>
        <v>10000</v>
      </c>
      <c r="J58" s="45" t="s">
        <v>1041</v>
      </c>
    </row>
    <row r="59" spans="1:21" x14ac:dyDescent="0.35">
      <c r="A59" s="148">
        <v>44693</v>
      </c>
      <c r="B59" s="39" t="s">
        <v>825</v>
      </c>
      <c r="C59" s="149">
        <v>612</v>
      </c>
      <c r="D59" s="39">
        <v>1327.9</v>
      </c>
      <c r="E59" s="39">
        <v>10</v>
      </c>
      <c r="F59" s="151">
        <v>2180</v>
      </c>
      <c r="G59" s="154">
        <f>Table6[[#This Row],[Vị thế đóng]]-Table6[[#This Row],[Commission]]</f>
        <v>1568</v>
      </c>
      <c r="H59" s="156">
        <v>72</v>
      </c>
      <c r="I59" s="152">
        <f>10*20*100</f>
        <v>20000</v>
      </c>
      <c r="J59" s="150" t="s">
        <v>1039</v>
      </c>
    </row>
  </sheetData>
  <phoneticPr fontId="28" type="noConversion"/>
  <pageMargins left="0.7" right="0.7" top="0.75" bottom="0.75" header="0.3" footer="0.3"/>
  <pageSetup paperSize="9" orientation="portrait"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4"/>
  <sheetViews>
    <sheetView workbookViewId="0">
      <selection activeCell="R14" sqref="R14"/>
    </sheetView>
  </sheetViews>
  <sheetFormatPr defaultRowHeight="14.5" x14ac:dyDescent="0.35"/>
  <cols>
    <col min="10" max="11" width="8.7265625" style="167"/>
  </cols>
  <sheetData>
    <row r="1" spans="1:17" x14ac:dyDescent="0.35">
      <c r="A1" t="s">
        <v>192</v>
      </c>
      <c r="B1" t="s">
        <v>1287</v>
      </c>
      <c r="C1" t="s">
        <v>1288</v>
      </c>
      <c r="D1" t="s">
        <v>1289</v>
      </c>
      <c r="E1" t="s">
        <v>1290</v>
      </c>
      <c r="F1" s="11" t="s">
        <v>1291</v>
      </c>
      <c r="G1" s="11" t="s">
        <v>1292</v>
      </c>
      <c r="H1" s="11" t="s">
        <v>1293</v>
      </c>
      <c r="I1" s="11" t="s">
        <v>1294</v>
      </c>
      <c r="J1" s="167" t="s">
        <v>1275</v>
      </c>
      <c r="K1" s="167" t="s">
        <v>1276</v>
      </c>
      <c r="L1" t="s">
        <v>1284</v>
      </c>
      <c r="M1" s="5" t="s">
        <v>1286</v>
      </c>
      <c r="N1" s="5" t="s">
        <v>1283</v>
      </c>
      <c r="O1" s="5" t="s">
        <v>1282</v>
      </c>
      <c r="P1" t="s">
        <v>1281</v>
      </c>
      <c r="Q1" t="s">
        <v>1285</v>
      </c>
    </row>
    <row r="2" spans="1:17" x14ac:dyDescent="0.35">
      <c r="A2" s="165">
        <v>44778</v>
      </c>
      <c r="F2" s="11"/>
      <c r="G2" s="11"/>
      <c r="H2" s="11"/>
      <c r="I2" s="11"/>
      <c r="L2" s="167"/>
      <c r="M2">
        <f t="shared" ref="M2:M6" si="0">C2-D2</f>
        <v>0</v>
      </c>
      <c r="N2">
        <f t="shared" ref="N2:N6" si="1">G2-H2</f>
        <v>0</v>
      </c>
      <c r="O2">
        <f t="shared" ref="O2:O6" si="2">I2-F2</f>
        <v>0</v>
      </c>
      <c r="P2">
        <f t="shared" ref="P2:P6" si="3">M2-N2</f>
        <v>0</v>
      </c>
      <c r="Q2">
        <f t="shared" ref="Q2:Q5" si="4">I2-E2</f>
        <v>0</v>
      </c>
    </row>
    <row r="3" spans="1:17" x14ac:dyDescent="0.35">
      <c r="A3" s="19">
        <v>44777</v>
      </c>
      <c r="F3" s="11"/>
      <c r="G3" s="11"/>
      <c r="H3" s="11"/>
      <c r="I3" s="11"/>
      <c r="L3" s="167"/>
      <c r="M3">
        <f t="shared" si="0"/>
        <v>0</v>
      </c>
      <c r="N3">
        <f t="shared" si="1"/>
        <v>0</v>
      </c>
      <c r="O3">
        <f t="shared" si="2"/>
        <v>0</v>
      </c>
      <c r="P3">
        <f t="shared" si="3"/>
        <v>0</v>
      </c>
      <c r="Q3">
        <f t="shared" si="4"/>
        <v>0</v>
      </c>
    </row>
    <row r="4" spans="1:17" x14ac:dyDescent="0.35">
      <c r="A4" s="165">
        <v>44776</v>
      </c>
      <c r="F4" s="11"/>
      <c r="G4" s="11"/>
      <c r="H4" s="11"/>
      <c r="I4" s="11"/>
      <c r="M4">
        <f t="shared" si="0"/>
        <v>0</v>
      </c>
      <c r="N4">
        <f t="shared" si="1"/>
        <v>0</v>
      </c>
      <c r="O4">
        <f t="shared" si="2"/>
        <v>0</v>
      </c>
      <c r="P4">
        <f t="shared" si="3"/>
        <v>0</v>
      </c>
      <c r="Q4">
        <f t="shared" si="4"/>
        <v>0</v>
      </c>
    </row>
    <row r="5" spans="1:17" x14ac:dyDescent="0.35">
      <c r="A5" s="19">
        <v>44775</v>
      </c>
      <c r="F5" s="11"/>
      <c r="G5" s="11"/>
      <c r="H5" s="11"/>
      <c r="I5" s="11"/>
      <c r="M5">
        <f t="shared" si="0"/>
        <v>0</v>
      </c>
      <c r="N5">
        <f t="shared" si="1"/>
        <v>0</v>
      </c>
      <c r="O5">
        <f t="shared" si="2"/>
        <v>0</v>
      </c>
      <c r="P5">
        <f t="shared" si="3"/>
        <v>0</v>
      </c>
      <c r="Q5">
        <f t="shared" si="4"/>
        <v>0</v>
      </c>
    </row>
    <row r="6" spans="1:17" x14ac:dyDescent="0.35">
      <c r="A6" s="164">
        <v>44774</v>
      </c>
      <c r="F6" s="11"/>
      <c r="G6" s="11"/>
      <c r="H6" s="11"/>
      <c r="I6" s="11"/>
      <c r="L6" s="167"/>
      <c r="M6">
        <f t="shared" si="0"/>
        <v>0</v>
      </c>
      <c r="N6">
        <f t="shared" si="1"/>
        <v>0</v>
      </c>
      <c r="O6">
        <f t="shared" si="2"/>
        <v>0</v>
      </c>
      <c r="P6">
        <f t="shared" si="3"/>
        <v>0</v>
      </c>
      <c r="Q6">
        <f>I6-E6</f>
        <v>0</v>
      </c>
    </row>
    <row r="7" spans="1:17" x14ac:dyDescent="0.35">
      <c r="A7" s="165">
        <v>44771</v>
      </c>
      <c r="F7" s="11"/>
      <c r="G7" s="11"/>
      <c r="H7" s="11"/>
      <c r="I7" s="11"/>
      <c r="L7" s="167"/>
      <c r="M7">
        <f t="shared" ref="M7:M11" si="5">C7-D7</f>
        <v>0</v>
      </c>
      <c r="N7">
        <f t="shared" ref="N7:N11" si="6">G7-H7</f>
        <v>0</v>
      </c>
      <c r="O7">
        <f t="shared" ref="O7:O11" si="7">I7-F7</f>
        <v>0</v>
      </c>
      <c r="P7">
        <f t="shared" ref="P7:P11" si="8">M7-N7</f>
        <v>0</v>
      </c>
      <c r="Q7">
        <f t="shared" ref="Q7:Q10" si="9">I7-E7</f>
        <v>0</v>
      </c>
    </row>
    <row r="8" spans="1:17" x14ac:dyDescent="0.35">
      <c r="A8" s="19">
        <v>44770</v>
      </c>
      <c r="F8" s="11"/>
      <c r="G8" s="11"/>
      <c r="H8" s="11"/>
      <c r="I8" s="11"/>
      <c r="L8" s="167"/>
      <c r="M8">
        <f t="shared" si="5"/>
        <v>0</v>
      </c>
      <c r="N8">
        <f t="shared" si="6"/>
        <v>0</v>
      </c>
      <c r="O8">
        <f t="shared" si="7"/>
        <v>0</v>
      </c>
      <c r="P8">
        <f t="shared" si="8"/>
        <v>0</v>
      </c>
      <c r="Q8">
        <f t="shared" si="9"/>
        <v>0</v>
      </c>
    </row>
    <row r="9" spans="1:17" x14ac:dyDescent="0.35">
      <c r="A9" s="165">
        <v>44769</v>
      </c>
      <c r="F9" s="11"/>
      <c r="G9" s="11"/>
      <c r="H9" s="11"/>
      <c r="I9" s="11"/>
      <c r="M9">
        <f t="shared" si="5"/>
        <v>0</v>
      </c>
      <c r="N9">
        <f t="shared" si="6"/>
        <v>0</v>
      </c>
      <c r="O9">
        <f t="shared" si="7"/>
        <v>0</v>
      </c>
      <c r="P9">
        <f t="shared" si="8"/>
        <v>0</v>
      </c>
      <c r="Q9">
        <f t="shared" si="9"/>
        <v>0</v>
      </c>
    </row>
    <row r="10" spans="1:17" x14ac:dyDescent="0.35">
      <c r="A10" s="19">
        <v>44768</v>
      </c>
      <c r="F10" s="11"/>
      <c r="G10" s="11"/>
      <c r="H10" s="11"/>
      <c r="I10" s="11"/>
      <c r="M10">
        <f t="shared" si="5"/>
        <v>0</v>
      </c>
      <c r="N10">
        <f t="shared" si="6"/>
        <v>0</v>
      </c>
      <c r="O10">
        <f t="shared" si="7"/>
        <v>0</v>
      </c>
      <c r="P10">
        <f t="shared" si="8"/>
        <v>0</v>
      </c>
      <c r="Q10">
        <f t="shared" si="9"/>
        <v>0</v>
      </c>
    </row>
    <row r="11" spans="1:17" x14ac:dyDescent="0.35">
      <c r="A11" s="164">
        <v>44767</v>
      </c>
      <c r="F11" s="11"/>
      <c r="G11" s="11"/>
      <c r="H11" s="11"/>
      <c r="I11" s="11"/>
      <c r="L11" s="167"/>
      <c r="M11">
        <f t="shared" si="5"/>
        <v>0</v>
      </c>
      <c r="N11">
        <f t="shared" si="6"/>
        <v>0</v>
      </c>
      <c r="O11">
        <f t="shared" si="7"/>
        <v>0</v>
      </c>
      <c r="P11">
        <f t="shared" si="8"/>
        <v>0</v>
      </c>
      <c r="Q11">
        <f>I11-E11</f>
        <v>0</v>
      </c>
    </row>
    <row r="12" spans="1:17" x14ac:dyDescent="0.35">
      <c r="A12" s="165">
        <v>44764</v>
      </c>
      <c r="F12" s="11"/>
      <c r="G12" s="11"/>
      <c r="H12" s="11"/>
      <c r="I12" s="11"/>
      <c r="M12">
        <f t="shared" ref="M12:M16" si="10">C12-D12</f>
        <v>0</v>
      </c>
      <c r="N12">
        <f t="shared" ref="N12:N16" si="11">G12-H12</f>
        <v>0</v>
      </c>
      <c r="O12">
        <f t="shared" ref="O12:O16" si="12">I12-F12</f>
        <v>0</v>
      </c>
      <c r="P12">
        <f t="shared" ref="P12:P16" si="13">M12-N12</f>
        <v>0</v>
      </c>
      <c r="Q12">
        <f t="shared" ref="Q12:Q15" si="14">I12-E12</f>
        <v>0</v>
      </c>
    </row>
    <row r="13" spans="1:17" x14ac:dyDescent="0.35">
      <c r="A13" s="159">
        <v>44763</v>
      </c>
      <c r="B13">
        <v>1225.3</v>
      </c>
      <c r="C13">
        <v>1242</v>
      </c>
      <c r="D13">
        <v>1225.2</v>
      </c>
      <c r="E13">
        <v>1234.0999999999999</v>
      </c>
      <c r="F13" s="11">
        <v>1227.31</v>
      </c>
      <c r="G13" s="11">
        <v>1240.9100000000001</v>
      </c>
      <c r="H13" s="11">
        <v>1226.8800000000001</v>
      </c>
      <c r="I13" s="11">
        <v>1235.25</v>
      </c>
      <c r="J13" s="167">
        <v>203.851</v>
      </c>
      <c r="K13" s="167">
        <v>127.715</v>
      </c>
      <c r="L13" s="11">
        <v>0</v>
      </c>
      <c r="M13">
        <f t="shared" si="10"/>
        <v>16.799999999999955</v>
      </c>
      <c r="N13">
        <f t="shared" si="11"/>
        <v>14.029999999999973</v>
      </c>
      <c r="O13">
        <f t="shared" si="12"/>
        <v>7.9400000000000546</v>
      </c>
      <c r="P13">
        <f t="shared" si="13"/>
        <v>2.7699999999999818</v>
      </c>
      <c r="Q13">
        <f t="shared" si="14"/>
        <v>1.1500000000000909</v>
      </c>
    </row>
    <row r="14" spans="1:17" x14ac:dyDescent="0.35">
      <c r="A14" s="165">
        <v>44762</v>
      </c>
      <c r="B14">
        <v>1223.5</v>
      </c>
      <c r="C14">
        <v>1230.8</v>
      </c>
      <c r="D14">
        <v>1221.4000000000001</v>
      </c>
      <c r="E14">
        <v>1226.0999999999999</v>
      </c>
      <c r="F14" s="11">
        <v>1220.25</v>
      </c>
      <c r="G14" s="11">
        <v>1229.6199999999999</v>
      </c>
      <c r="H14" s="11">
        <v>1217.45</v>
      </c>
      <c r="I14" s="11">
        <v>1225.6199999999999</v>
      </c>
      <c r="J14" s="167">
        <v>189.50299999999999</v>
      </c>
      <c r="K14" s="167">
        <v>123.378</v>
      </c>
      <c r="L14" s="167">
        <v>14</v>
      </c>
      <c r="M14">
        <f t="shared" si="10"/>
        <v>9.3999999999998636</v>
      </c>
      <c r="N14">
        <f t="shared" si="11"/>
        <v>12.169999999999845</v>
      </c>
      <c r="O14">
        <f t="shared" si="12"/>
        <v>5.3699999999998909</v>
      </c>
      <c r="P14">
        <f t="shared" si="13"/>
        <v>-2.7699999999999818</v>
      </c>
      <c r="Q14">
        <f t="shared" si="14"/>
        <v>-0.48000000000001819</v>
      </c>
    </row>
    <row r="15" spans="1:17" x14ac:dyDescent="0.35">
      <c r="A15" s="19">
        <v>44761</v>
      </c>
      <c r="B15">
        <v>1213.9000000000001</v>
      </c>
      <c r="C15">
        <v>1216.4000000000001</v>
      </c>
      <c r="D15">
        <v>1208.0999999999999</v>
      </c>
      <c r="E15">
        <v>1213</v>
      </c>
      <c r="F15" s="11">
        <v>1213.55</v>
      </c>
      <c r="G15" s="11">
        <v>1213.6400000000001</v>
      </c>
      <c r="H15" s="11">
        <v>1204.6099999999999</v>
      </c>
      <c r="I15" s="11">
        <v>1211.7</v>
      </c>
      <c r="J15" s="167">
        <v>196.929</v>
      </c>
      <c r="K15" s="167">
        <v>100.593</v>
      </c>
      <c r="L15" s="167">
        <v>-2.4</v>
      </c>
      <c r="M15">
        <f t="shared" si="10"/>
        <v>8.3000000000001819</v>
      </c>
      <c r="N15">
        <f t="shared" si="11"/>
        <v>9.0300000000002001</v>
      </c>
      <c r="O15">
        <f t="shared" si="12"/>
        <v>-1.8499999999999091</v>
      </c>
      <c r="P15">
        <f t="shared" si="13"/>
        <v>-0.73000000000001819</v>
      </c>
      <c r="Q15">
        <f t="shared" si="14"/>
        <v>-1.2999999999999545</v>
      </c>
    </row>
    <row r="16" spans="1:17" x14ac:dyDescent="0.35">
      <c r="A16" s="164">
        <v>44760</v>
      </c>
      <c r="B16">
        <v>1218.2</v>
      </c>
      <c r="C16">
        <v>1221</v>
      </c>
      <c r="D16">
        <v>1212.2</v>
      </c>
      <c r="E16">
        <v>1215.4000000000001</v>
      </c>
      <c r="F16" s="11">
        <v>1225.4000000000001</v>
      </c>
      <c r="G16" s="11">
        <v>1225.69</v>
      </c>
      <c r="H16" s="11">
        <v>1213.28</v>
      </c>
      <c r="I16" s="11">
        <v>1214.28</v>
      </c>
      <c r="J16" s="167">
        <v>178.982</v>
      </c>
      <c r="K16" s="167">
        <v>104.039</v>
      </c>
      <c r="L16" s="167">
        <v>5</v>
      </c>
      <c r="M16">
        <f t="shared" si="10"/>
        <v>8.7999999999999545</v>
      </c>
      <c r="N16">
        <f t="shared" si="11"/>
        <v>12.410000000000082</v>
      </c>
      <c r="O16">
        <f t="shared" si="12"/>
        <v>-11.120000000000118</v>
      </c>
      <c r="P16">
        <f t="shared" si="13"/>
        <v>-3.6100000000001273</v>
      </c>
      <c r="Q16">
        <f>I16-E16</f>
        <v>-1.1200000000001182</v>
      </c>
    </row>
    <row r="17" spans="1:17" x14ac:dyDescent="0.35">
      <c r="A17" s="165">
        <v>44757</v>
      </c>
      <c r="B17">
        <v>1219</v>
      </c>
      <c r="C17">
        <v>1221.8</v>
      </c>
      <c r="D17">
        <v>1209.2</v>
      </c>
      <c r="E17">
        <v>1210.0999999999999</v>
      </c>
      <c r="F17" s="11">
        <v>1224.1500000000001</v>
      </c>
      <c r="G17" s="11">
        <v>1228.48</v>
      </c>
      <c r="H17" s="11">
        <v>1217.21</v>
      </c>
      <c r="I17" s="11">
        <v>1220.1400000000001</v>
      </c>
      <c r="J17" s="167">
        <v>220.851</v>
      </c>
      <c r="K17" s="167">
        <v>147.666</v>
      </c>
      <c r="L17" s="167">
        <v>-8</v>
      </c>
      <c r="M17">
        <f t="shared" ref="M17:M48" si="15">C17-D17</f>
        <v>12.599999999999909</v>
      </c>
      <c r="N17">
        <f t="shared" ref="N17:N48" si="16">G17-H17</f>
        <v>11.269999999999982</v>
      </c>
      <c r="O17">
        <f t="shared" ref="O17:O48" si="17">I17-F17</f>
        <v>-4.0099999999999909</v>
      </c>
      <c r="P17">
        <f t="shared" ref="P17:P48" si="18">M17-N17</f>
        <v>1.3299999999999272</v>
      </c>
      <c r="Q17">
        <f t="shared" ref="Q17:Q20" si="19">I17-E17</f>
        <v>10.040000000000191</v>
      </c>
    </row>
    <row r="18" spans="1:17" x14ac:dyDescent="0.35">
      <c r="A18" s="19">
        <v>44756</v>
      </c>
      <c r="B18">
        <v>1206.8</v>
      </c>
      <c r="C18">
        <v>1217.9000000000001</v>
      </c>
      <c r="D18">
        <v>1204.4000000000001</v>
      </c>
      <c r="E18">
        <v>1215.7</v>
      </c>
      <c r="F18" s="11">
        <v>1213.73</v>
      </c>
      <c r="G18" s="11">
        <v>1224.01</v>
      </c>
      <c r="H18" s="11">
        <v>1211.1400000000001</v>
      </c>
      <c r="I18" s="11">
        <v>1221.94</v>
      </c>
      <c r="J18" s="167">
        <v>242.459</v>
      </c>
      <c r="K18" s="167">
        <v>106.758</v>
      </c>
      <c r="L18" s="167">
        <v>2</v>
      </c>
      <c r="M18">
        <f t="shared" si="15"/>
        <v>13.5</v>
      </c>
      <c r="N18">
        <f t="shared" si="16"/>
        <v>12.869999999999891</v>
      </c>
      <c r="O18">
        <f t="shared" si="17"/>
        <v>8.2100000000000364</v>
      </c>
      <c r="P18">
        <f t="shared" si="18"/>
        <v>0.63000000000010914</v>
      </c>
      <c r="Q18">
        <f t="shared" si="19"/>
        <v>6.2400000000000091</v>
      </c>
    </row>
    <row r="19" spans="1:17" x14ac:dyDescent="0.35">
      <c r="A19" s="165">
        <v>44755</v>
      </c>
      <c r="B19">
        <v>1215</v>
      </c>
      <c r="C19">
        <v>1220.0999999999999</v>
      </c>
      <c r="D19">
        <v>1209.5</v>
      </c>
      <c r="E19">
        <v>1210</v>
      </c>
      <c r="F19" s="11">
        <v>1216.83</v>
      </c>
      <c r="G19" s="11">
        <v>1225.8499999999999</v>
      </c>
      <c r="H19" s="11">
        <v>1213.4100000000001</v>
      </c>
      <c r="I19" s="11">
        <v>1216.94</v>
      </c>
      <c r="J19" s="167">
        <v>251.96899999999999</v>
      </c>
      <c r="K19" s="167">
        <v>117.18</v>
      </c>
      <c r="M19">
        <f t="shared" si="15"/>
        <v>10.599999999999909</v>
      </c>
      <c r="N19">
        <f t="shared" si="16"/>
        <v>12.439999999999827</v>
      </c>
      <c r="O19">
        <f t="shared" si="17"/>
        <v>0.11000000000012733</v>
      </c>
      <c r="P19">
        <f t="shared" si="18"/>
        <v>-1.8399999999999181</v>
      </c>
      <c r="Q19">
        <f t="shared" si="19"/>
        <v>6.9400000000000546</v>
      </c>
    </row>
    <row r="20" spans="1:17" x14ac:dyDescent="0.35">
      <c r="A20" s="19">
        <v>44754</v>
      </c>
      <c r="B20">
        <v>1202</v>
      </c>
      <c r="C20">
        <v>1216</v>
      </c>
      <c r="D20">
        <v>1201.9000000000001</v>
      </c>
      <c r="E20">
        <v>1213.5</v>
      </c>
      <c r="F20" s="11">
        <v>1208.06</v>
      </c>
      <c r="G20" s="11">
        <v>1219.44</v>
      </c>
      <c r="H20" s="11">
        <v>1204.8399999999999</v>
      </c>
      <c r="I20" s="11">
        <v>1219.44</v>
      </c>
      <c r="J20" s="167">
        <v>224.334</v>
      </c>
      <c r="K20" s="167">
        <v>88.676000000000002</v>
      </c>
      <c r="M20">
        <f t="shared" si="15"/>
        <v>14.099999999999909</v>
      </c>
      <c r="N20">
        <f t="shared" si="16"/>
        <v>14.600000000000136</v>
      </c>
      <c r="O20">
        <f t="shared" si="17"/>
        <v>11.380000000000109</v>
      </c>
      <c r="P20">
        <f t="shared" si="18"/>
        <v>-0.50000000000022737</v>
      </c>
      <c r="Q20">
        <f t="shared" si="19"/>
        <v>5.9400000000000546</v>
      </c>
    </row>
    <row r="21" spans="1:17" x14ac:dyDescent="0.35">
      <c r="A21" s="164">
        <v>44753</v>
      </c>
      <c r="B21">
        <v>1221</v>
      </c>
      <c r="C21">
        <v>1221.8</v>
      </c>
      <c r="D21">
        <v>1197.0999999999999</v>
      </c>
      <c r="E21">
        <v>1200.7</v>
      </c>
      <c r="F21" s="11">
        <v>1224.2</v>
      </c>
      <c r="G21" s="11">
        <v>1224.2</v>
      </c>
      <c r="H21" s="11">
        <v>1200.1500000000001</v>
      </c>
      <c r="I21" s="11">
        <v>1209.2</v>
      </c>
      <c r="J21" s="167">
        <v>228.673</v>
      </c>
      <c r="K21" s="167">
        <v>131.00200000000001</v>
      </c>
      <c r="L21" s="167">
        <v>10</v>
      </c>
      <c r="M21">
        <f t="shared" si="15"/>
        <v>24.700000000000045</v>
      </c>
      <c r="N21">
        <f t="shared" si="16"/>
        <v>24.049999999999955</v>
      </c>
      <c r="O21">
        <f t="shared" si="17"/>
        <v>-15</v>
      </c>
      <c r="P21">
        <f t="shared" si="18"/>
        <v>0.65000000000009095</v>
      </c>
      <c r="Q21">
        <f>I21-E21</f>
        <v>8.5</v>
      </c>
    </row>
    <row r="22" spans="1:17" x14ac:dyDescent="0.35">
      <c r="A22" s="19">
        <v>44750</v>
      </c>
      <c r="B22">
        <v>1230.5</v>
      </c>
      <c r="C22">
        <v>1231.8</v>
      </c>
      <c r="D22">
        <v>1223.5</v>
      </c>
      <c r="E22">
        <v>1225</v>
      </c>
      <c r="F22" s="11">
        <v>1235.6500000000001</v>
      </c>
      <c r="G22" s="11">
        <v>1236.8499999999999</v>
      </c>
      <c r="H22" s="11">
        <v>1225.04</v>
      </c>
      <c r="I22" s="11">
        <v>1231.54</v>
      </c>
      <c r="J22" s="167">
        <v>210.77</v>
      </c>
      <c r="K22" s="167">
        <v>115.988</v>
      </c>
      <c r="L22" s="167">
        <v>2</v>
      </c>
      <c r="M22">
        <f t="shared" si="15"/>
        <v>8.2999999999999545</v>
      </c>
      <c r="N22">
        <f t="shared" si="16"/>
        <v>11.809999999999945</v>
      </c>
      <c r="O22">
        <f t="shared" si="17"/>
        <v>-4.1100000000001273</v>
      </c>
      <c r="P22">
        <f t="shared" si="18"/>
        <v>-3.5099999999999909</v>
      </c>
      <c r="Q22">
        <f t="shared" ref="Q22:Q25" si="20">I22-E22</f>
        <v>6.5399999999999636</v>
      </c>
    </row>
    <row r="23" spans="1:17" x14ac:dyDescent="0.35">
      <c r="A23" s="19">
        <v>44749</v>
      </c>
      <c r="B23">
        <v>1215.7</v>
      </c>
      <c r="C23">
        <v>1226.2</v>
      </c>
      <c r="D23">
        <v>1213</v>
      </c>
      <c r="E23">
        <v>1225</v>
      </c>
      <c r="F23" s="11">
        <v>1212.3599999999999</v>
      </c>
      <c r="G23" s="11">
        <v>1229.23</v>
      </c>
      <c r="H23" s="11">
        <v>1209.97</v>
      </c>
      <c r="I23" s="11">
        <v>1229.23</v>
      </c>
      <c r="J23" s="167">
        <v>319.33600000000001</v>
      </c>
      <c r="K23" s="167">
        <v>98.638999999999996</v>
      </c>
      <c r="L23">
        <v>-4.2</v>
      </c>
      <c r="M23">
        <f t="shared" si="15"/>
        <v>13.200000000000045</v>
      </c>
      <c r="N23">
        <f t="shared" si="16"/>
        <v>19.259999999999991</v>
      </c>
      <c r="O23">
        <f t="shared" si="17"/>
        <v>16.870000000000118</v>
      </c>
      <c r="P23">
        <f t="shared" si="18"/>
        <v>-6.0599999999999454</v>
      </c>
      <c r="Q23">
        <f t="shared" si="20"/>
        <v>4.2300000000000182</v>
      </c>
    </row>
    <row r="24" spans="1:17" x14ac:dyDescent="0.35">
      <c r="A24" s="19">
        <v>44748</v>
      </c>
      <c r="B24">
        <v>1234.8</v>
      </c>
      <c r="C24">
        <v>1234.8</v>
      </c>
      <c r="D24">
        <v>1213.4000000000001</v>
      </c>
      <c r="E24">
        <v>1218</v>
      </c>
      <c r="F24" s="11">
        <v>1241.19</v>
      </c>
      <c r="G24" s="11">
        <v>1241.19</v>
      </c>
      <c r="H24" s="11">
        <v>1211.94</v>
      </c>
      <c r="I24" s="11">
        <v>1211.94</v>
      </c>
      <c r="J24" s="167">
        <v>399.286</v>
      </c>
      <c r="K24" s="167">
        <v>131.18</v>
      </c>
      <c r="L24">
        <v>-2</v>
      </c>
      <c r="M24">
        <f t="shared" si="15"/>
        <v>21.399999999999864</v>
      </c>
      <c r="N24">
        <f t="shared" si="16"/>
        <v>29.25</v>
      </c>
      <c r="O24">
        <f t="shared" si="17"/>
        <v>-29.25</v>
      </c>
      <c r="P24">
        <f t="shared" si="18"/>
        <v>-7.8500000000001364</v>
      </c>
      <c r="Q24">
        <f t="shared" si="20"/>
        <v>-6.0599999999999454</v>
      </c>
    </row>
    <row r="25" spans="1:17" x14ac:dyDescent="0.35">
      <c r="A25" s="19">
        <v>44747</v>
      </c>
      <c r="B25">
        <v>1248.3</v>
      </c>
      <c r="C25">
        <v>1251.9000000000001</v>
      </c>
      <c r="D25">
        <v>1234</v>
      </c>
      <c r="E25">
        <v>1234.9000000000001</v>
      </c>
      <c r="F25" s="11">
        <v>1252.48</v>
      </c>
      <c r="G25" s="11">
        <v>1256.47</v>
      </c>
      <c r="H25" s="11">
        <v>1239.8</v>
      </c>
      <c r="I25" s="11">
        <v>1242.05</v>
      </c>
      <c r="J25" s="167">
        <v>332.00200000000001</v>
      </c>
      <c r="K25" s="167">
        <v>162.03100000000001</v>
      </c>
      <c r="L25">
        <v>-5</v>
      </c>
      <c r="M25">
        <f t="shared" si="15"/>
        <v>17.900000000000091</v>
      </c>
      <c r="N25">
        <f t="shared" si="16"/>
        <v>16.670000000000073</v>
      </c>
      <c r="O25">
        <f t="shared" si="17"/>
        <v>-10.430000000000064</v>
      </c>
      <c r="P25">
        <f t="shared" si="18"/>
        <v>1.2300000000000182</v>
      </c>
      <c r="Q25">
        <f t="shared" si="20"/>
        <v>7.1499999999998636</v>
      </c>
    </row>
    <row r="26" spans="1:17" x14ac:dyDescent="0.35">
      <c r="A26" s="164">
        <v>44746</v>
      </c>
      <c r="B26">
        <v>1247</v>
      </c>
      <c r="C26">
        <v>1252.0999999999999</v>
      </c>
      <c r="D26">
        <v>1238.0999999999999</v>
      </c>
      <c r="E26">
        <v>1242</v>
      </c>
      <c r="F26" s="11">
        <v>1256.2</v>
      </c>
      <c r="G26" s="11">
        <v>1260.72</v>
      </c>
      <c r="H26" s="11">
        <v>1244.5</v>
      </c>
      <c r="I26" s="11">
        <v>1248.3699999999999</v>
      </c>
      <c r="J26" s="167">
        <v>245.64400000000001</v>
      </c>
      <c r="K26" s="167">
        <v>112.84</v>
      </c>
      <c r="L26">
        <v>-5</v>
      </c>
      <c r="M26">
        <f t="shared" si="15"/>
        <v>14</v>
      </c>
      <c r="N26">
        <f t="shared" si="16"/>
        <v>16.220000000000027</v>
      </c>
      <c r="O26">
        <f t="shared" si="17"/>
        <v>-7.8300000000001546</v>
      </c>
      <c r="P26">
        <f t="shared" si="18"/>
        <v>-2.2200000000000273</v>
      </c>
      <c r="Q26">
        <f>I26-E26</f>
        <v>6.3699999999998909</v>
      </c>
    </row>
    <row r="27" spans="1:17" x14ac:dyDescent="0.35">
      <c r="A27" s="19">
        <v>44743</v>
      </c>
      <c r="B27">
        <v>1241</v>
      </c>
      <c r="C27">
        <v>1243.5</v>
      </c>
      <c r="D27">
        <v>1221.5</v>
      </c>
      <c r="E27">
        <v>1242</v>
      </c>
      <c r="F27" s="11">
        <v>1247.7</v>
      </c>
      <c r="G27" s="11">
        <v>1255.67</v>
      </c>
      <c r="H27" s="11">
        <v>1225.6400000000001</v>
      </c>
      <c r="I27" s="11">
        <v>1252.24</v>
      </c>
      <c r="J27" s="167">
        <v>330.35199999999998</v>
      </c>
      <c r="K27" s="167">
        <v>118.89100000000001</v>
      </c>
      <c r="L27">
        <v>4</v>
      </c>
      <c r="M27">
        <f t="shared" si="15"/>
        <v>22</v>
      </c>
      <c r="N27">
        <f t="shared" si="16"/>
        <v>30.029999999999973</v>
      </c>
      <c r="O27">
        <f t="shared" si="17"/>
        <v>4.5399999999999636</v>
      </c>
      <c r="P27">
        <f t="shared" si="18"/>
        <v>-8.0299999999999727</v>
      </c>
      <c r="Q27">
        <f t="shared" ref="Q27:Q30" si="21">I27-E27</f>
        <v>10.240000000000009</v>
      </c>
    </row>
    <row r="28" spans="1:17" x14ac:dyDescent="0.35">
      <c r="A28" s="19">
        <v>44742</v>
      </c>
      <c r="B28">
        <v>1262</v>
      </c>
      <c r="C28">
        <v>1264.8</v>
      </c>
      <c r="D28">
        <v>1240.0999999999999</v>
      </c>
      <c r="E28">
        <v>1240.0999999999999</v>
      </c>
      <c r="F28" s="11">
        <v>1273.99</v>
      </c>
      <c r="G28" s="11">
        <v>1276.23</v>
      </c>
      <c r="H28" s="11">
        <v>1248.92</v>
      </c>
      <c r="I28" s="11">
        <v>1248.92</v>
      </c>
      <c r="J28" s="167">
        <v>256.95100000000002</v>
      </c>
      <c r="K28" s="167">
        <v>118.014</v>
      </c>
      <c r="L28">
        <v>0</v>
      </c>
      <c r="M28">
        <f t="shared" si="15"/>
        <v>24.700000000000045</v>
      </c>
      <c r="N28">
        <f t="shared" si="16"/>
        <v>27.309999999999945</v>
      </c>
      <c r="O28">
        <f t="shared" si="17"/>
        <v>-25.069999999999936</v>
      </c>
      <c r="P28">
        <f t="shared" si="18"/>
        <v>-2.6099999999999</v>
      </c>
      <c r="Q28">
        <f t="shared" si="21"/>
        <v>8.8200000000001637</v>
      </c>
    </row>
    <row r="29" spans="1:17" x14ac:dyDescent="0.35">
      <c r="A29" s="19">
        <v>44741</v>
      </c>
      <c r="B29">
        <v>1255</v>
      </c>
      <c r="C29">
        <v>1262.9000000000001</v>
      </c>
      <c r="D29">
        <v>1251.0999999999999</v>
      </c>
      <c r="E29">
        <v>1260.5</v>
      </c>
      <c r="F29" s="11">
        <v>1259.83</v>
      </c>
      <c r="G29" s="11">
        <v>1274.73</v>
      </c>
      <c r="H29" s="11">
        <v>1259.4100000000001</v>
      </c>
      <c r="I29" s="11">
        <v>1273.4000000000001</v>
      </c>
      <c r="J29" s="167">
        <v>289.58300000000003</v>
      </c>
      <c r="K29" s="167">
        <v>113.29600000000001</v>
      </c>
      <c r="L29">
        <v>0</v>
      </c>
      <c r="M29">
        <f t="shared" si="15"/>
        <v>11.800000000000182</v>
      </c>
      <c r="N29">
        <f t="shared" si="16"/>
        <v>15.319999999999936</v>
      </c>
      <c r="O29">
        <f t="shared" si="17"/>
        <v>13.570000000000164</v>
      </c>
      <c r="P29">
        <f t="shared" si="18"/>
        <v>-3.5199999999997544</v>
      </c>
      <c r="Q29">
        <f t="shared" si="21"/>
        <v>12.900000000000091</v>
      </c>
    </row>
    <row r="30" spans="1:17" x14ac:dyDescent="0.35">
      <c r="A30" s="19">
        <v>44740</v>
      </c>
      <c r="B30">
        <v>1246</v>
      </c>
      <c r="C30">
        <v>1266.5</v>
      </c>
      <c r="D30">
        <v>1242.7</v>
      </c>
      <c r="E30">
        <v>1261</v>
      </c>
      <c r="F30" s="11">
        <v>1254.3499999999999</v>
      </c>
      <c r="G30" s="11">
        <v>1276.21</v>
      </c>
      <c r="H30" s="11">
        <v>1249.57</v>
      </c>
      <c r="I30" s="11">
        <v>1273.4100000000001</v>
      </c>
      <c r="J30" s="167">
        <v>258.19400000000002</v>
      </c>
      <c r="K30" s="167">
        <v>151.571</v>
      </c>
      <c r="L30">
        <v>0</v>
      </c>
      <c r="M30">
        <f t="shared" si="15"/>
        <v>23.799999999999955</v>
      </c>
      <c r="N30">
        <f t="shared" si="16"/>
        <v>26.6400000000001</v>
      </c>
      <c r="O30">
        <f t="shared" si="17"/>
        <v>19.060000000000173</v>
      </c>
      <c r="P30">
        <f t="shared" si="18"/>
        <v>-2.8400000000001455</v>
      </c>
      <c r="Q30">
        <f t="shared" si="21"/>
        <v>12.410000000000082</v>
      </c>
    </row>
    <row r="31" spans="1:17" x14ac:dyDescent="0.35">
      <c r="A31" s="164">
        <v>44739</v>
      </c>
      <c r="B31">
        <v>1236</v>
      </c>
      <c r="C31">
        <v>1247.9000000000001</v>
      </c>
      <c r="D31">
        <v>1234</v>
      </c>
      <c r="E31">
        <v>1247.9000000000001</v>
      </c>
      <c r="F31" s="11">
        <v>1238.23</v>
      </c>
      <c r="G31" s="11">
        <v>1256.67</v>
      </c>
      <c r="H31" s="11">
        <v>1237.79</v>
      </c>
      <c r="I31" s="11">
        <v>1256.67</v>
      </c>
      <c r="J31" s="167">
        <v>218.952</v>
      </c>
      <c r="K31" s="167">
        <v>110.59699999999999</v>
      </c>
      <c r="L31">
        <v>13</v>
      </c>
      <c r="M31">
        <f t="shared" si="15"/>
        <v>13.900000000000091</v>
      </c>
      <c r="N31">
        <f t="shared" si="16"/>
        <v>18.880000000000109</v>
      </c>
      <c r="O31">
        <f t="shared" si="17"/>
        <v>18.440000000000055</v>
      </c>
      <c r="P31">
        <f t="shared" si="18"/>
        <v>-4.9800000000000182</v>
      </c>
      <c r="Q31">
        <f>I31-E31</f>
        <v>8.7699999999999818</v>
      </c>
    </row>
    <row r="32" spans="1:17" x14ac:dyDescent="0.35">
      <c r="A32" s="19">
        <v>44736</v>
      </c>
      <c r="B32">
        <v>1236</v>
      </c>
      <c r="C32">
        <v>1237.9000000000001</v>
      </c>
      <c r="D32">
        <v>1226</v>
      </c>
      <c r="E32">
        <v>1227</v>
      </c>
      <c r="F32" s="11">
        <v>1239.54</v>
      </c>
      <c r="G32" s="11">
        <v>1246.22</v>
      </c>
      <c r="H32" s="11">
        <v>1234.72</v>
      </c>
      <c r="I32" s="11">
        <v>1235.47</v>
      </c>
      <c r="J32" s="167">
        <v>243.816</v>
      </c>
      <c r="K32" s="167">
        <v>90.436999999999998</v>
      </c>
      <c r="L32">
        <v>-10</v>
      </c>
      <c r="M32">
        <f t="shared" si="15"/>
        <v>11.900000000000091</v>
      </c>
      <c r="N32">
        <f t="shared" si="16"/>
        <v>11.5</v>
      </c>
      <c r="O32">
        <f t="shared" si="17"/>
        <v>-4.0699999999999363</v>
      </c>
      <c r="P32">
        <f t="shared" si="18"/>
        <v>0.40000000000009095</v>
      </c>
      <c r="Q32">
        <f t="shared" ref="Q32:Q35" si="22">I32-E32</f>
        <v>8.4700000000000273</v>
      </c>
    </row>
    <row r="33" spans="1:17" x14ac:dyDescent="0.35">
      <c r="A33" s="19">
        <v>44735</v>
      </c>
      <c r="B33">
        <v>1222</v>
      </c>
      <c r="C33">
        <v>1230.3</v>
      </c>
      <c r="D33">
        <v>1216.3</v>
      </c>
      <c r="E33">
        <v>1227.8</v>
      </c>
      <c r="F33" s="11">
        <v>1219.67</v>
      </c>
      <c r="G33" s="11">
        <v>1240.58</v>
      </c>
      <c r="H33" s="11">
        <v>1219.08</v>
      </c>
      <c r="I33" s="11">
        <v>1240.58</v>
      </c>
      <c r="J33" s="167">
        <v>336.90800000000002</v>
      </c>
      <c r="K33" s="167">
        <v>105.24</v>
      </c>
      <c r="L33">
        <v>7</v>
      </c>
      <c r="M33">
        <f t="shared" si="15"/>
        <v>14</v>
      </c>
      <c r="N33">
        <f t="shared" si="16"/>
        <v>21.5</v>
      </c>
      <c r="O33">
        <f t="shared" si="17"/>
        <v>20.909999999999854</v>
      </c>
      <c r="P33">
        <f t="shared" si="18"/>
        <v>-7.5</v>
      </c>
      <c r="Q33">
        <f t="shared" si="22"/>
        <v>12.779999999999973</v>
      </c>
    </row>
    <row r="34" spans="1:17" x14ac:dyDescent="0.35">
      <c r="A34" s="19">
        <v>44734</v>
      </c>
      <c r="B34">
        <v>1233.7</v>
      </c>
      <c r="C34">
        <v>1240.9000000000001</v>
      </c>
      <c r="D34">
        <v>1216</v>
      </c>
      <c r="E34">
        <v>1216</v>
      </c>
      <c r="F34" s="11">
        <v>1233.28</v>
      </c>
      <c r="G34" s="11">
        <v>1242.06</v>
      </c>
      <c r="H34" s="11">
        <v>1222.8599999999999</v>
      </c>
      <c r="I34" s="11">
        <v>1227.18</v>
      </c>
      <c r="J34" s="167">
        <v>404.68</v>
      </c>
      <c r="K34" s="167">
        <v>142.69499999999999</v>
      </c>
      <c r="L34">
        <v>22</v>
      </c>
      <c r="M34">
        <f t="shared" si="15"/>
        <v>24.900000000000091</v>
      </c>
      <c r="N34">
        <f t="shared" si="16"/>
        <v>19.200000000000045</v>
      </c>
      <c r="O34">
        <f t="shared" si="17"/>
        <v>-6.0999999999999091</v>
      </c>
      <c r="P34">
        <f t="shared" si="18"/>
        <v>5.7000000000000455</v>
      </c>
      <c r="Q34">
        <f t="shared" si="22"/>
        <v>11.180000000000064</v>
      </c>
    </row>
    <row r="35" spans="1:17" x14ac:dyDescent="0.35">
      <c r="A35" s="19">
        <v>44733</v>
      </c>
      <c r="B35">
        <v>1216.8</v>
      </c>
      <c r="C35">
        <v>1240</v>
      </c>
      <c r="D35">
        <v>1210.5</v>
      </c>
      <c r="E35">
        <v>1228</v>
      </c>
      <c r="F35" s="11">
        <v>1220.76</v>
      </c>
      <c r="G35" s="11">
        <v>1240.8</v>
      </c>
      <c r="H35" s="11">
        <v>1212.69</v>
      </c>
      <c r="I35" s="11">
        <v>1224.54</v>
      </c>
      <c r="J35" s="167">
        <v>504.51600000000002</v>
      </c>
      <c r="K35" s="167">
        <v>172.80199999999999</v>
      </c>
      <c r="L35">
        <v>5</v>
      </c>
      <c r="M35">
        <f t="shared" si="15"/>
        <v>29.5</v>
      </c>
      <c r="N35">
        <f t="shared" si="16"/>
        <v>28.1099999999999</v>
      </c>
      <c r="O35">
        <f t="shared" si="17"/>
        <v>3.7799999999999727</v>
      </c>
      <c r="P35">
        <f t="shared" si="18"/>
        <v>1.3900000000001</v>
      </c>
      <c r="Q35">
        <f t="shared" si="22"/>
        <v>-3.4600000000000364</v>
      </c>
    </row>
    <row r="36" spans="1:17" x14ac:dyDescent="0.35">
      <c r="A36" s="164">
        <v>44732</v>
      </c>
      <c r="B36">
        <v>1244.8</v>
      </c>
      <c r="C36">
        <v>1249.4000000000001</v>
      </c>
      <c r="D36">
        <v>1212</v>
      </c>
      <c r="E36">
        <v>1212</v>
      </c>
      <c r="F36" s="11">
        <v>1258.3</v>
      </c>
      <c r="G36" s="11">
        <v>1262.83</v>
      </c>
      <c r="H36" s="11">
        <v>1223.03</v>
      </c>
      <c r="I36" s="11">
        <v>1225.56</v>
      </c>
      <c r="J36" s="167">
        <v>405.214</v>
      </c>
      <c r="K36" s="167">
        <v>168.768</v>
      </c>
      <c r="L36">
        <v>7</v>
      </c>
      <c r="M36">
        <f t="shared" si="15"/>
        <v>37.400000000000091</v>
      </c>
      <c r="N36">
        <f t="shared" si="16"/>
        <v>39.799999999999955</v>
      </c>
      <c r="O36">
        <f t="shared" si="17"/>
        <v>-32.740000000000009</v>
      </c>
      <c r="P36">
        <f t="shared" si="18"/>
        <v>-2.3999999999998636</v>
      </c>
      <c r="Q36">
        <f>I36-E36</f>
        <v>13.559999999999945</v>
      </c>
    </row>
    <row r="37" spans="1:17" x14ac:dyDescent="0.35">
      <c r="A37" s="19">
        <v>44729</v>
      </c>
      <c r="B37">
        <v>1247.5</v>
      </c>
      <c r="C37">
        <v>1249</v>
      </c>
      <c r="D37">
        <v>1215.2</v>
      </c>
      <c r="E37">
        <v>1245.2</v>
      </c>
      <c r="F37" s="11">
        <v>1254.05</v>
      </c>
      <c r="G37" s="11">
        <v>1259.3900000000001</v>
      </c>
      <c r="H37" s="11">
        <v>1229.74</v>
      </c>
      <c r="I37" s="11">
        <v>1258.03</v>
      </c>
      <c r="J37" s="167">
        <v>455.23399999999998</v>
      </c>
      <c r="K37" s="167">
        <v>187.3</v>
      </c>
      <c r="L37">
        <v>1</v>
      </c>
      <c r="M37">
        <f t="shared" si="15"/>
        <v>33.799999999999955</v>
      </c>
      <c r="N37">
        <f t="shared" si="16"/>
        <v>29.650000000000091</v>
      </c>
      <c r="O37">
        <f t="shared" si="17"/>
        <v>3.9800000000000182</v>
      </c>
      <c r="P37">
        <f t="shared" si="18"/>
        <v>4.1499999999998636</v>
      </c>
      <c r="Q37">
        <f t="shared" ref="Q37:Q40" si="23">I37-E37</f>
        <v>12.829999999999927</v>
      </c>
    </row>
    <row r="38" spans="1:17" x14ac:dyDescent="0.35">
      <c r="A38" s="159">
        <v>44728</v>
      </c>
      <c r="B38">
        <v>1261</v>
      </c>
      <c r="C38">
        <v>1286.5</v>
      </c>
      <c r="D38">
        <v>1260.7</v>
      </c>
      <c r="E38">
        <v>1286</v>
      </c>
      <c r="F38" s="11">
        <v>1266.8699999999999</v>
      </c>
      <c r="G38" s="11">
        <v>1292.02</v>
      </c>
      <c r="H38" s="11">
        <v>1263.56</v>
      </c>
      <c r="I38" s="11">
        <v>1280.3699999999999</v>
      </c>
      <c r="J38" s="167">
        <v>284.86799999999999</v>
      </c>
      <c r="K38" s="167">
        <v>156.45500000000001</v>
      </c>
      <c r="L38">
        <v>-4</v>
      </c>
      <c r="M38">
        <f t="shared" si="15"/>
        <v>25.799999999999955</v>
      </c>
      <c r="N38">
        <f t="shared" si="16"/>
        <v>28.460000000000036</v>
      </c>
      <c r="O38">
        <f t="shared" si="17"/>
        <v>13.5</v>
      </c>
      <c r="P38">
        <f t="shared" si="18"/>
        <v>-2.6600000000000819</v>
      </c>
      <c r="Q38">
        <f t="shared" si="23"/>
        <v>-5.6300000000001091</v>
      </c>
    </row>
    <row r="39" spans="1:17" x14ac:dyDescent="0.35">
      <c r="A39" s="19">
        <v>44727</v>
      </c>
      <c r="B39">
        <v>1268</v>
      </c>
      <c r="C39">
        <v>1270.5</v>
      </c>
      <c r="D39">
        <v>1235.3</v>
      </c>
      <c r="E39">
        <v>1251.3</v>
      </c>
      <c r="F39" s="11">
        <v>1263.96</v>
      </c>
      <c r="G39" s="11">
        <v>1268.33</v>
      </c>
      <c r="H39" s="11">
        <v>1231.1199999999999</v>
      </c>
      <c r="I39" s="11">
        <v>1253.0899999999999</v>
      </c>
      <c r="J39" s="167">
        <v>356.99299999999999</v>
      </c>
      <c r="K39" s="167">
        <v>167.43100000000001</v>
      </c>
      <c r="L39">
        <v>4</v>
      </c>
      <c r="M39">
        <f t="shared" si="15"/>
        <v>35.200000000000045</v>
      </c>
      <c r="N39">
        <f t="shared" si="16"/>
        <v>37.210000000000036</v>
      </c>
      <c r="O39">
        <f t="shared" si="17"/>
        <v>-10.870000000000118</v>
      </c>
      <c r="P39">
        <f t="shared" si="18"/>
        <v>-2.0099999999999909</v>
      </c>
      <c r="Q39">
        <f t="shared" si="23"/>
        <v>1.7899999999999636</v>
      </c>
    </row>
    <row r="40" spans="1:17" x14ac:dyDescent="0.35">
      <c r="A40" s="19">
        <v>44726</v>
      </c>
      <c r="B40">
        <v>1254.8</v>
      </c>
      <c r="C40">
        <v>1272.5</v>
      </c>
      <c r="D40">
        <v>1250</v>
      </c>
      <c r="E40">
        <v>1268.3</v>
      </c>
      <c r="F40" s="11">
        <v>1247.3900000000001</v>
      </c>
      <c r="G40" s="11">
        <v>1271.28</v>
      </c>
      <c r="H40" s="11">
        <v>1245.26</v>
      </c>
      <c r="I40" s="11">
        <v>1261.1600000000001</v>
      </c>
      <c r="J40" s="167">
        <v>353.74700000000001</v>
      </c>
      <c r="K40" s="167">
        <v>145.64099999999999</v>
      </c>
      <c r="L40">
        <v>-1</v>
      </c>
      <c r="M40">
        <f t="shared" si="15"/>
        <v>22.5</v>
      </c>
      <c r="N40">
        <f t="shared" si="16"/>
        <v>26.019999999999982</v>
      </c>
      <c r="O40">
        <f t="shared" si="17"/>
        <v>13.769999999999982</v>
      </c>
      <c r="P40">
        <f t="shared" si="18"/>
        <v>-3.5199999999999818</v>
      </c>
      <c r="Q40">
        <f t="shared" si="23"/>
        <v>-7.1399999999998727</v>
      </c>
    </row>
    <row r="41" spans="1:17" x14ac:dyDescent="0.35">
      <c r="A41" s="164">
        <v>44725</v>
      </c>
      <c r="B41">
        <v>1295.26</v>
      </c>
      <c r="C41">
        <v>1300.45</v>
      </c>
      <c r="D41">
        <v>1260.8499999999999</v>
      </c>
      <c r="E41">
        <v>1260.8499999999999</v>
      </c>
      <c r="F41" s="11">
        <v>1284</v>
      </c>
      <c r="G41" s="11">
        <v>1289.9000000000001</v>
      </c>
      <c r="H41" s="11">
        <v>1257.4000000000001</v>
      </c>
      <c r="I41" s="11">
        <v>1260.2</v>
      </c>
      <c r="J41" s="167">
        <v>332.82900000000001</v>
      </c>
      <c r="K41" s="167">
        <v>199.02</v>
      </c>
      <c r="L41">
        <f>7270/1000</f>
        <v>7.27</v>
      </c>
      <c r="M41">
        <f t="shared" si="15"/>
        <v>39.600000000000136</v>
      </c>
      <c r="N41">
        <f t="shared" si="16"/>
        <v>32.5</v>
      </c>
      <c r="O41">
        <f t="shared" si="17"/>
        <v>-23.799999999999955</v>
      </c>
      <c r="P41">
        <f t="shared" si="18"/>
        <v>7.1000000000001364</v>
      </c>
      <c r="Q41">
        <f>I41-E41</f>
        <v>-0.64999999999986358</v>
      </c>
    </row>
    <row r="42" spans="1:17" x14ac:dyDescent="0.35">
      <c r="A42" s="19">
        <v>44722</v>
      </c>
      <c r="B42">
        <v>1328</v>
      </c>
      <c r="C42">
        <v>1333.8</v>
      </c>
      <c r="D42">
        <v>1311.1</v>
      </c>
      <c r="E42">
        <v>1311.1</v>
      </c>
      <c r="F42" s="11">
        <v>1332.93</v>
      </c>
      <c r="G42" s="11">
        <v>1344.85</v>
      </c>
      <c r="H42" s="11">
        <v>1325.69</v>
      </c>
      <c r="I42" s="11">
        <v>1325.69</v>
      </c>
      <c r="J42" s="167">
        <v>232.69300000000001</v>
      </c>
      <c r="K42" s="167">
        <v>136.58500000000001</v>
      </c>
      <c r="L42">
        <v>0</v>
      </c>
      <c r="M42">
        <f t="shared" si="15"/>
        <v>22.700000000000045</v>
      </c>
      <c r="N42">
        <f t="shared" si="16"/>
        <v>19.159999999999854</v>
      </c>
      <c r="O42">
        <f t="shared" si="17"/>
        <v>-7.2400000000000091</v>
      </c>
      <c r="P42">
        <f t="shared" si="18"/>
        <v>3.540000000000191</v>
      </c>
      <c r="Q42">
        <f t="shared" ref="Q42:Q45" si="24">I42-E42</f>
        <v>14.590000000000146</v>
      </c>
    </row>
    <row r="43" spans="1:17" x14ac:dyDescent="0.35">
      <c r="A43" s="19">
        <v>44721</v>
      </c>
      <c r="B43">
        <v>1332.4</v>
      </c>
      <c r="C43">
        <v>1339</v>
      </c>
      <c r="D43">
        <v>1327</v>
      </c>
      <c r="E43">
        <v>1335.3</v>
      </c>
      <c r="F43" s="11">
        <v>1344.56</v>
      </c>
      <c r="G43" s="11">
        <v>1346.13</v>
      </c>
      <c r="H43" s="11">
        <v>1335.28</v>
      </c>
      <c r="I43" s="11">
        <v>1342.92</v>
      </c>
      <c r="J43" s="167">
        <v>264.55900000000003</v>
      </c>
      <c r="K43" s="167">
        <v>126.6</v>
      </c>
      <c r="L43">
        <f>1852/500</f>
        <v>3.7040000000000002</v>
      </c>
      <c r="M43">
        <f t="shared" si="15"/>
        <v>12</v>
      </c>
      <c r="N43">
        <f t="shared" si="16"/>
        <v>10.850000000000136</v>
      </c>
      <c r="O43">
        <f t="shared" si="17"/>
        <v>-1.6399999999998727</v>
      </c>
      <c r="P43">
        <f t="shared" si="18"/>
        <v>1.1499999999998636</v>
      </c>
      <c r="Q43">
        <f t="shared" si="24"/>
        <v>7.6200000000001182</v>
      </c>
    </row>
    <row r="44" spans="1:17" x14ac:dyDescent="0.35">
      <c r="A44" s="19">
        <v>44720</v>
      </c>
      <c r="B44">
        <v>1321</v>
      </c>
      <c r="C44">
        <v>1342</v>
      </c>
      <c r="D44">
        <v>1319.8</v>
      </c>
      <c r="E44">
        <v>1333</v>
      </c>
      <c r="F44" s="11">
        <v>1328.95</v>
      </c>
      <c r="G44" s="11">
        <v>1348.4</v>
      </c>
      <c r="H44" s="11">
        <v>1325.65</v>
      </c>
      <c r="I44" s="11">
        <v>1342.03</v>
      </c>
      <c r="J44" s="167">
        <v>267.43</v>
      </c>
      <c r="K44" s="167">
        <v>163.072</v>
      </c>
      <c r="L44">
        <f>1123/500</f>
        <v>2.246</v>
      </c>
      <c r="M44">
        <f t="shared" si="15"/>
        <v>22.200000000000045</v>
      </c>
      <c r="N44">
        <f t="shared" si="16"/>
        <v>22.75</v>
      </c>
      <c r="O44">
        <f t="shared" si="17"/>
        <v>13.079999999999927</v>
      </c>
      <c r="P44">
        <f t="shared" si="18"/>
        <v>-0.54999999999995453</v>
      </c>
      <c r="Q44">
        <f t="shared" si="24"/>
        <v>9.0299999999999727</v>
      </c>
    </row>
    <row r="45" spans="1:17" x14ac:dyDescent="0.35">
      <c r="A45" s="19">
        <v>44719</v>
      </c>
      <c r="B45">
        <v>1315</v>
      </c>
      <c r="C45">
        <v>1315.5</v>
      </c>
      <c r="D45">
        <v>1293.3</v>
      </c>
      <c r="E45">
        <v>1315</v>
      </c>
      <c r="F45" s="11">
        <v>1323.19</v>
      </c>
      <c r="G45" s="11">
        <v>1324.27</v>
      </c>
      <c r="H45" s="11">
        <v>1297.98</v>
      </c>
      <c r="I45" s="11">
        <v>1324.37</v>
      </c>
      <c r="J45" s="167">
        <v>278.66399999999999</v>
      </c>
      <c r="K45" s="167">
        <v>153.98099999999999</v>
      </c>
      <c r="L45">
        <v>0</v>
      </c>
      <c r="M45">
        <f t="shared" si="15"/>
        <v>22.200000000000045</v>
      </c>
      <c r="N45">
        <f t="shared" si="16"/>
        <v>26.289999999999964</v>
      </c>
      <c r="O45">
        <f t="shared" si="17"/>
        <v>1.1799999999998363</v>
      </c>
      <c r="P45">
        <f t="shared" si="18"/>
        <v>-4.0899999999999181</v>
      </c>
      <c r="Q45">
        <f t="shared" si="24"/>
        <v>9.3699999999998909</v>
      </c>
    </row>
    <row r="46" spans="1:17" x14ac:dyDescent="0.35">
      <c r="A46" s="164">
        <v>44718</v>
      </c>
      <c r="B46">
        <v>1320.7</v>
      </c>
      <c r="C46">
        <v>1332</v>
      </c>
      <c r="D46">
        <v>1315</v>
      </c>
      <c r="E46">
        <v>1315</v>
      </c>
      <c r="F46" s="11">
        <v>1328.73</v>
      </c>
      <c r="G46" s="11">
        <v>1336.96</v>
      </c>
      <c r="H46" s="11">
        <v>1320.97</v>
      </c>
      <c r="I46" s="11">
        <v>1327.04</v>
      </c>
      <c r="J46" s="167">
        <v>224.785</v>
      </c>
      <c r="K46" s="167">
        <v>132.834</v>
      </c>
      <c r="L46">
        <f>1097/500</f>
        <v>2.194</v>
      </c>
      <c r="M46">
        <f t="shared" si="15"/>
        <v>17</v>
      </c>
      <c r="N46">
        <f t="shared" si="16"/>
        <v>15.990000000000009</v>
      </c>
      <c r="O46">
        <f t="shared" si="17"/>
        <v>-1.6900000000000546</v>
      </c>
      <c r="P46">
        <f t="shared" si="18"/>
        <v>1.0099999999999909</v>
      </c>
      <c r="Q46">
        <f>I46-E46</f>
        <v>12.039999999999964</v>
      </c>
    </row>
    <row r="47" spans="1:17" x14ac:dyDescent="0.35">
      <c r="A47" s="19">
        <v>44715</v>
      </c>
      <c r="B47">
        <v>1318</v>
      </c>
      <c r="C47">
        <v>1323.9</v>
      </c>
      <c r="D47">
        <v>1305.5999999999999</v>
      </c>
      <c r="E47">
        <v>1318.5</v>
      </c>
      <c r="F47" s="11">
        <v>1323.09</v>
      </c>
      <c r="G47" s="11">
        <v>1329.9</v>
      </c>
      <c r="H47" s="11">
        <v>1313.4</v>
      </c>
      <c r="I47" s="11">
        <v>1327.4</v>
      </c>
      <c r="J47" s="167">
        <v>233.505</v>
      </c>
      <c r="K47" s="167">
        <v>100.18</v>
      </c>
      <c r="L47">
        <f>997.3/500</f>
        <v>1.9945999999999999</v>
      </c>
      <c r="M47">
        <f t="shared" si="15"/>
        <v>18.300000000000182</v>
      </c>
      <c r="N47">
        <f t="shared" si="16"/>
        <v>16.5</v>
      </c>
      <c r="O47">
        <f t="shared" si="17"/>
        <v>4.3100000000001728</v>
      </c>
      <c r="P47">
        <f t="shared" si="18"/>
        <v>1.8000000000001819</v>
      </c>
      <c r="Q47">
        <f t="shared" ref="Q47:Q50" si="25">I47-E47</f>
        <v>8.9000000000000909</v>
      </c>
    </row>
    <row r="48" spans="1:17" x14ac:dyDescent="0.35">
      <c r="A48" s="19">
        <v>44714</v>
      </c>
      <c r="B48">
        <v>1311</v>
      </c>
      <c r="C48">
        <v>1330</v>
      </c>
      <c r="D48">
        <v>1311</v>
      </c>
      <c r="E48">
        <v>1315</v>
      </c>
      <c r="F48" s="11">
        <v>1339.12</v>
      </c>
      <c r="G48" s="11">
        <v>1342.47</v>
      </c>
      <c r="H48" s="11">
        <v>1319.85</v>
      </c>
      <c r="I48" s="11">
        <v>1325.49</v>
      </c>
      <c r="J48" s="167">
        <v>253.048</v>
      </c>
      <c r="K48" s="167">
        <v>133.90299999999999</v>
      </c>
      <c r="L48">
        <f>2043.5/500</f>
        <v>4.0869999999999997</v>
      </c>
      <c r="M48">
        <f t="shared" si="15"/>
        <v>19</v>
      </c>
      <c r="N48">
        <f t="shared" si="16"/>
        <v>22.620000000000118</v>
      </c>
      <c r="O48">
        <f t="shared" si="17"/>
        <v>-13.629999999999882</v>
      </c>
      <c r="P48">
        <f t="shared" si="18"/>
        <v>-3.6200000000001182</v>
      </c>
      <c r="Q48">
        <f t="shared" si="25"/>
        <v>10.490000000000009</v>
      </c>
    </row>
    <row r="49" spans="1:17" x14ac:dyDescent="0.35">
      <c r="A49" s="19">
        <v>44713</v>
      </c>
      <c r="B49">
        <v>1318.5</v>
      </c>
      <c r="C49">
        <v>1337.5</v>
      </c>
      <c r="D49">
        <v>1316</v>
      </c>
      <c r="E49">
        <v>1326</v>
      </c>
      <c r="F49" s="11">
        <v>1329.02</v>
      </c>
      <c r="G49" s="11">
        <v>1341.47</v>
      </c>
      <c r="H49" s="11">
        <v>1323.07</v>
      </c>
      <c r="I49" s="11">
        <v>1335.49</v>
      </c>
      <c r="J49" s="167">
        <v>325.93599999999998</v>
      </c>
      <c r="K49" s="167">
        <v>127.58199999999999</v>
      </c>
      <c r="L49">
        <f>2996.5/500</f>
        <v>5.9930000000000003</v>
      </c>
      <c r="M49">
        <f t="shared" ref="M49:M84" si="26">C49-D49</f>
        <v>21.5</v>
      </c>
      <c r="N49">
        <f t="shared" ref="N49:N84" si="27">G49-H49</f>
        <v>18.400000000000091</v>
      </c>
      <c r="O49">
        <f t="shared" ref="O49:O84" si="28">I49-F49</f>
        <v>6.4700000000000273</v>
      </c>
      <c r="P49">
        <f t="shared" ref="P49:P70" si="29">M49-N49</f>
        <v>3.0999999999999091</v>
      </c>
      <c r="Q49">
        <f t="shared" si="25"/>
        <v>9.4900000000000091</v>
      </c>
    </row>
    <row r="50" spans="1:17" x14ac:dyDescent="0.35">
      <c r="A50" s="19">
        <v>44712</v>
      </c>
      <c r="B50">
        <v>1326.2</v>
      </c>
      <c r="C50">
        <v>1326.8</v>
      </c>
      <c r="D50">
        <v>1310.5</v>
      </c>
      <c r="E50">
        <v>1320.5</v>
      </c>
      <c r="F50" s="11">
        <v>1342.8</v>
      </c>
      <c r="G50" s="11">
        <v>1342.8</v>
      </c>
      <c r="H50" s="11">
        <v>1324.46</v>
      </c>
      <c r="I50" s="11">
        <v>1332.59</v>
      </c>
      <c r="J50" s="167">
        <v>224.97800000000001</v>
      </c>
      <c r="K50" s="167">
        <v>127.916</v>
      </c>
      <c r="M50">
        <f t="shared" si="26"/>
        <v>16.299999999999955</v>
      </c>
      <c r="N50">
        <f t="shared" si="27"/>
        <v>18.339999999999918</v>
      </c>
      <c r="O50">
        <f t="shared" si="28"/>
        <v>-10.210000000000036</v>
      </c>
      <c r="P50">
        <f t="shared" si="29"/>
        <v>-2.0399999999999636</v>
      </c>
      <c r="Q50">
        <f t="shared" si="25"/>
        <v>12.089999999999918</v>
      </c>
    </row>
    <row r="51" spans="1:17" x14ac:dyDescent="0.35">
      <c r="A51" s="164">
        <v>44711</v>
      </c>
      <c r="B51">
        <v>1329.7</v>
      </c>
      <c r="C51">
        <v>1331</v>
      </c>
      <c r="D51">
        <v>1319.6</v>
      </c>
      <c r="E51">
        <v>1325.6</v>
      </c>
      <c r="F51" s="11">
        <v>1337.39</v>
      </c>
      <c r="G51" s="11">
        <v>1342.87</v>
      </c>
      <c r="H51" s="11">
        <v>1329.38</v>
      </c>
      <c r="I51" s="11">
        <v>1342.87</v>
      </c>
      <c r="J51" s="167">
        <v>204.05</v>
      </c>
      <c r="K51" s="167">
        <v>121.53100000000001</v>
      </c>
      <c r="L51">
        <f>-18064/2000*4</f>
        <v>-36.128</v>
      </c>
      <c r="M51">
        <f t="shared" si="26"/>
        <v>11.400000000000091</v>
      </c>
      <c r="N51">
        <f t="shared" si="27"/>
        <v>13.489999999999782</v>
      </c>
      <c r="O51">
        <f t="shared" si="28"/>
        <v>5.4799999999997908</v>
      </c>
      <c r="P51">
        <f t="shared" si="29"/>
        <v>-2.0899999999996908</v>
      </c>
      <c r="Q51">
        <f>I51-E51</f>
        <v>17.269999999999982</v>
      </c>
    </row>
    <row r="52" spans="1:17" x14ac:dyDescent="0.35">
      <c r="A52" s="19">
        <v>44708</v>
      </c>
      <c r="B52">
        <v>1306.0999999999999</v>
      </c>
      <c r="C52">
        <v>1328.8</v>
      </c>
      <c r="D52">
        <v>1305.0999999999999</v>
      </c>
      <c r="E52">
        <v>1322.5</v>
      </c>
      <c r="F52" s="11">
        <v>1311.78</v>
      </c>
      <c r="G52" s="11">
        <v>1336.99</v>
      </c>
      <c r="H52" s="11">
        <v>1310.6400000000001</v>
      </c>
      <c r="I52" s="11">
        <v>1335.68</v>
      </c>
      <c r="J52" s="167">
        <v>255.624</v>
      </c>
      <c r="K52" s="167">
        <v>139.40600000000001</v>
      </c>
      <c r="L52">
        <f>2093/500</f>
        <v>4.1859999999999999</v>
      </c>
      <c r="M52">
        <f t="shared" si="26"/>
        <v>23.700000000000045</v>
      </c>
      <c r="N52">
        <f t="shared" si="27"/>
        <v>26.349999999999909</v>
      </c>
      <c r="O52">
        <f t="shared" si="28"/>
        <v>23.900000000000091</v>
      </c>
      <c r="P52">
        <f t="shared" si="29"/>
        <v>-2.6499999999998636</v>
      </c>
      <c r="Q52">
        <f>I52-E52</f>
        <v>13.180000000000064</v>
      </c>
    </row>
    <row r="53" spans="1:17" x14ac:dyDescent="0.35">
      <c r="A53" s="19">
        <v>44707</v>
      </c>
      <c r="B53">
        <v>1302</v>
      </c>
      <c r="C53">
        <v>1310.5</v>
      </c>
      <c r="D53">
        <v>1292.0999999999999</v>
      </c>
      <c r="E53">
        <v>1300.9000000000001</v>
      </c>
      <c r="F53" s="11">
        <v>1312.56</v>
      </c>
      <c r="G53" s="11">
        <v>1319.21</v>
      </c>
      <c r="H53" s="11">
        <v>1304.5899999999999</v>
      </c>
      <c r="I53" s="11">
        <v>1309.5</v>
      </c>
      <c r="J53" s="167">
        <v>279.32499999999999</v>
      </c>
      <c r="K53" s="167">
        <v>127.93</v>
      </c>
      <c r="L53">
        <f>2494/500</f>
        <v>4.9880000000000004</v>
      </c>
      <c r="M53">
        <f t="shared" si="26"/>
        <v>18.400000000000091</v>
      </c>
      <c r="N53">
        <f t="shared" si="27"/>
        <v>14.620000000000118</v>
      </c>
      <c r="O53">
        <f t="shared" si="28"/>
        <v>-3.0599999999999454</v>
      </c>
      <c r="P53">
        <f t="shared" si="29"/>
        <v>3.7799999999999727</v>
      </c>
      <c r="Q53">
        <f t="shared" ref="Q53:Q75" si="30">I53-E53</f>
        <v>8.5999999999999091</v>
      </c>
    </row>
    <row r="54" spans="1:17" x14ac:dyDescent="0.35">
      <c r="A54" s="19">
        <v>44706</v>
      </c>
      <c r="B54">
        <v>1275</v>
      </c>
      <c r="C54">
        <v>1306</v>
      </c>
      <c r="D54">
        <v>1268.5</v>
      </c>
      <c r="E54">
        <v>1299.3</v>
      </c>
      <c r="F54" s="11">
        <v>1277.54</v>
      </c>
      <c r="G54" s="11">
        <v>1311.32</v>
      </c>
      <c r="H54" s="11">
        <v>1273.29</v>
      </c>
      <c r="I54" s="11">
        <v>1310.7</v>
      </c>
      <c r="J54" s="167">
        <v>318.72399999999999</v>
      </c>
      <c r="K54" s="167">
        <v>172.69800000000001</v>
      </c>
      <c r="L54">
        <f>2897/5/100</f>
        <v>5.7939999999999996</v>
      </c>
      <c r="M54">
        <f t="shared" si="26"/>
        <v>37.5</v>
      </c>
      <c r="N54">
        <f t="shared" si="27"/>
        <v>38.029999999999973</v>
      </c>
      <c r="O54">
        <f t="shared" si="28"/>
        <v>33.160000000000082</v>
      </c>
      <c r="P54">
        <f t="shared" si="29"/>
        <v>-0.52999999999997272</v>
      </c>
      <c r="Q54">
        <f t="shared" si="30"/>
        <v>11.400000000000091</v>
      </c>
    </row>
    <row r="55" spans="1:17" x14ac:dyDescent="0.35">
      <c r="A55" s="19">
        <v>44705</v>
      </c>
      <c r="B55">
        <v>1253</v>
      </c>
      <c r="C55">
        <v>1271.0999999999999</v>
      </c>
      <c r="D55">
        <v>1234</v>
      </c>
      <c r="E55">
        <v>1267</v>
      </c>
      <c r="F55" s="11">
        <v>1255.77</v>
      </c>
      <c r="G55" s="11">
        <v>1272.71</v>
      </c>
      <c r="H55" s="11">
        <v>1242.3599999999999</v>
      </c>
      <c r="I55" s="11">
        <v>1272.71</v>
      </c>
      <c r="J55" s="167">
        <v>389.65800000000002</v>
      </c>
      <c r="K55" s="167">
        <v>146.36600000000001</v>
      </c>
      <c r="M55">
        <f t="shared" si="26"/>
        <v>37.099999999999909</v>
      </c>
      <c r="N55">
        <f t="shared" si="27"/>
        <v>30.350000000000136</v>
      </c>
      <c r="O55">
        <f t="shared" si="28"/>
        <v>16.940000000000055</v>
      </c>
      <c r="P55">
        <f t="shared" si="29"/>
        <v>6.7499999999997726</v>
      </c>
      <c r="Q55">
        <f t="shared" si="30"/>
        <v>5.7100000000000364</v>
      </c>
    </row>
    <row r="56" spans="1:17" x14ac:dyDescent="0.35">
      <c r="A56" s="164">
        <v>44704</v>
      </c>
      <c r="B56">
        <v>1289</v>
      </c>
      <c r="C56">
        <v>1289</v>
      </c>
      <c r="D56">
        <v>1238.0999999999999</v>
      </c>
      <c r="E56">
        <v>1253.0999999999999</v>
      </c>
      <c r="F56" s="11">
        <v>1287.49</v>
      </c>
      <c r="G56" s="11">
        <v>1287.6500000000001</v>
      </c>
      <c r="H56" s="11">
        <v>1245.4100000000001</v>
      </c>
      <c r="I56" s="11">
        <v>1255.3499999999999</v>
      </c>
      <c r="J56" s="167">
        <v>324.733</v>
      </c>
      <c r="K56" s="167">
        <v>139.33099999999999</v>
      </c>
      <c r="M56">
        <f t="shared" si="26"/>
        <v>50.900000000000091</v>
      </c>
      <c r="N56">
        <f t="shared" si="27"/>
        <v>42.240000000000009</v>
      </c>
      <c r="O56">
        <f t="shared" si="28"/>
        <v>-32.1400000000001</v>
      </c>
      <c r="P56">
        <f t="shared" si="29"/>
        <v>8.6600000000000819</v>
      </c>
      <c r="Q56">
        <f t="shared" si="30"/>
        <v>2.25</v>
      </c>
    </row>
    <row r="57" spans="1:17" x14ac:dyDescent="0.35">
      <c r="A57" s="19">
        <v>44701</v>
      </c>
      <c r="B57">
        <v>1283</v>
      </c>
      <c r="C57">
        <v>1299.2</v>
      </c>
      <c r="D57">
        <v>1259.8</v>
      </c>
      <c r="E57">
        <v>1276.8</v>
      </c>
      <c r="F57" s="11">
        <v>1284.8900000000001</v>
      </c>
      <c r="G57" s="11">
        <v>1296</v>
      </c>
      <c r="H57" s="11">
        <v>1273.4000000000001</v>
      </c>
      <c r="I57" s="11">
        <v>1282.51</v>
      </c>
      <c r="J57" s="167">
        <v>317.06799999999998</v>
      </c>
      <c r="K57" s="167">
        <v>110.1</v>
      </c>
      <c r="M57">
        <f t="shared" si="26"/>
        <v>39.400000000000091</v>
      </c>
      <c r="N57">
        <f t="shared" si="27"/>
        <v>22.599999999999909</v>
      </c>
      <c r="O57">
        <f t="shared" si="28"/>
        <v>-2.3800000000001091</v>
      </c>
      <c r="P57">
        <f t="shared" si="29"/>
        <v>16.800000000000182</v>
      </c>
      <c r="Q57">
        <f t="shared" si="30"/>
        <v>5.7100000000000364</v>
      </c>
    </row>
    <row r="58" spans="1:17" x14ac:dyDescent="0.35">
      <c r="A58" s="19">
        <v>44700</v>
      </c>
      <c r="B58">
        <v>1255</v>
      </c>
      <c r="C58">
        <v>1285.2</v>
      </c>
      <c r="D58">
        <v>1253</v>
      </c>
      <c r="E58">
        <v>1274.5</v>
      </c>
      <c r="F58" s="11">
        <v>1259.5899999999999</v>
      </c>
      <c r="G58" s="11">
        <v>1291.49</v>
      </c>
      <c r="H58" s="11">
        <v>1255.6300000000001</v>
      </c>
      <c r="I58" s="11">
        <v>1283.55</v>
      </c>
      <c r="K58" s="167">
        <v>130.077</v>
      </c>
      <c r="M58">
        <f t="shared" si="26"/>
        <v>32.200000000000045</v>
      </c>
      <c r="N58">
        <f t="shared" si="27"/>
        <v>35.8599999999999</v>
      </c>
      <c r="O58">
        <f t="shared" si="28"/>
        <v>23.960000000000036</v>
      </c>
      <c r="P58">
        <f t="shared" si="29"/>
        <v>-3.6599999999998545</v>
      </c>
      <c r="Q58">
        <f t="shared" si="30"/>
        <v>9.0499999999999545</v>
      </c>
    </row>
    <row r="59" spans="1:17" x14ac:dyDescent="0.35">
      <c r="A59" s="19">
        <v>44699</v>
      </c>
      <c r="B59">
        <v>1275</v>
      </c>
      <c r="C59">
        <v>1303.9000000000001</v>
      </c>
      <c r="D59">
        <v>1268</v>
      </c>
      <c r="E59">
        <v>1281.5</v>
      </c>
      <c r="F59" s="11">
        <v>1289.5</v>
      </c>
      <c r="G59" s="11">
        <v>1298.69</v>
      </c>
      <c r="H59" s="11">
        <v>1268.1300000000001</v>
      </c>
      <c r="I59" s="11">
        <v>1286.4100000000001</v>
      </c>
      <c r="K59" s="167">
        <v>159.93799999999999</v>
      </c>
      <c r="M59">
        <f t="shared" si="26"/>
        <v>35.900000000000091</v>
      </c>
      <c r="N59">
        <f t="shared" si="27"/>
        <v>30.559999999999945</v>
      </c>
      <c r="O59">
        <f t="shared" si="28"/>
        <v>-3.0899999999999181</v>
      </c>
      <c r="P59">
        <f t="shared" si="29"/>
        <v>5.3400000000001455</v>
      </c>
      <c r="Q59">
        <f t="shared" si="30"/>
        <v>4.9100000000000819</v>
      </c>
    </row>
    <row r="60" spans="1:17" x14ac:dyDescent="0.35">
      <c r="A60" s="19">
        <v>44698</v>
      </c>
      <c r="B60">
        <v>1226</v>
      </c>
      <c r="C60">
        <v>1282</v>
      </c>
      <c r="D60">
        <v>1206.3</v>
      </c>
      <c r="E60">
        <v>1281.8</v>
      </c>
      <c r="F60" s="11">
        <v>1211.8800000000001</v>
      </c>
      <c r="G60" s="11">
        <v>1279.55</v>
      </c>
      <c r="H60" s="11">
        <v>1203.51</v>
      </c>
      <c r="I60" s="11">
        <v>1279.55</v>
      </c>
      <c r="K60" s="167">
        <v>161.81700000000001</v>
      </c>
      <c r="M60">
        <f t="shared" si="26"/>
        <v>75.700000000000045</v>
      </c>
      <c r="N60">
        <f t="shared" si="27"/>
        <v>76.039999999999964</v>
      </c>
      <c r="O60">
        <f t="shared" si="28"/>
        <v>67.669999999999845</v>
      </c>
      <c r="P60">
        <f t="shared" si="29"/>
        <v>-0.33999999999991815</v>
      </c>
      <c r="Q60">
        <f t="shared" si="30"/>
        <v>-2.25</v>
      </c>
    </row>
    <row r="61" spans="1:17" x14ac:dyDescent="0.35">
      <c r="A61" s="164">
        <v>44697</v>
      </c>
      <c r="B61">
        <v>1240</v>
      </c>
      <c r="C61">
        <v>1261.9000000000001</v>
      </c>
      <c r="D61">
        <v>1212</v>
      </c>
      <c r="E61">
        <v>1212</v>
      </c>
      <c r="F61" s="11">
        <v>1254.8800000000001</v>
      </c>
      <c r="G61" s="11">
        <v>1258.25</v>
      </c>
      <c r="H61" s="11">
        <v>1214.29</v>
      </c>
      <c r="I61" s="11">
        <v>1215.08</v>
      </c>
      <c r="K61" s="167">
        <v>172.77</v>
      </c>
      <c r="M61">
        <f t="shared" si="26"/>
        <v>49.900000000000091</v>
      </c>
      <c r="N61">
        <f t="shared" si="27"/>
        <v>43.960000000000036</v>
      </c>
      <c r="O61">
        <f t="shared" si="28"/>
        <v>-39.800000000000182</v>
      </c>
      <c r="P61">
        <f t="shared" si="29"/>
        <v>5.9400000000000546</v>
      </c>
      <c r="Q61">
        <f t="shared" si="30"/>
        <v>3.0799999999999272</v>
      </c>
    </row>
    <row r="62" spans="1:17" x14ac:dyDescent="0.35">
      <c r="A62" s="19">
        <v>44694</v>
      </c>
      <c r="B62">
        <v>1272</v>
      </c>
      <c r="C62">
        <v>1288.0999999999999</v>
      </c>
      <c r="D62">
        <v>1214.7</v>
      </c>
      <c r="E62">
        <v>1225</v>
      </c>
      <c r="F62" s="11">
        <v>1281.28</v>
      </c>
      <c r="G62" s="11">
        <v>1284.94</v>
      </c>
      <c r="H62" s="11">
        <v>1219.52</v>
      </c>
      <c r="I62" s="11">
        <v>1223.76</v>
      </c>
      <c r="K62" s="167">
        <v>237.55500000000001</v>
      </c>
      <c r="M62">
        <f t="shared" si="26"/>
        <v>73.399999999999864</v>
      </c>
      <c r="N62">
        <f t="shared" si="27"/>
        <v>65.420000000000073</v>
      </c>
      <c r="O62">
        <f t="shared" si="28"/>
        <v>-57.519999999999982</v>
      </c>
      <c r="P62">
        <f t="shared" si="29"/>
        <v>7.9799999999997908</v>
      </c>
      <c r="Q62">
        <f t="shared" si="30"/>
        <v>-1.2400000000000091</v>
      </c>
    </row>
    <row r="63" spans="1:17" x14ac:dyDescent="0.35">
      <c r="A63" s="19">
        <v>44693</v>
      </c>
      <c r="B63">
        <v>1334</v>
      </c>
      <c r="C63">
        <v>1334</v>
      </c>
      <c r="D63">
        <v>1262</v>
      </c>
      <c r="E63">
        <v>1270</v>
      </c>
      <c r="F63" s="11">
        <v>1337.01</v>
      </c>
      <c r="G63" s="11">
        <v>1339.25</v>
      </c>
      <c r="H63" s="11">
        <v>1279.48</v>
      </c>
      <c r="I63" s="11">
        <v>1279.76</v>
      </c>
      <c r="K63" s="167">
        <v>163.22399999999999</v>
      </c>
      <c r="M63">
        <f t="shared" si="26"/>
        <v>72</v>
      </c>
      <c r="N63">
        <f t="shared" si="27"/>
        <v>59.769999999999982</v>
      </c>
      <c r="O63">
        <f t="shared" si="28"/>
        <v>-57.25</v>
      </c>
      <c r="P63">
        <f t="shared" si="29"/>
        <v>12.230000000000018</v>
      </c>
      <c r="Q63">
        <f t="shared" si="30"/>
        <v>9.7599999999999909</v>
      </c>
    </row>
    <row r="64" spans="1:17" x14ac:dyDescent="0.35">
      <c r="A64" s="19">
        <v>44692</v>
      </c>
      <c r="B64">
        <v>1335</v>
      </c>
      <c r="C64">
        <v>1349</v>
      </c>
      <c r="D64">
        <v>1318</v>
      </c>
      <c r="E64">
        <v>1337</v>
      </c>
      <c r="F64" s="11">
        <v>1344.14</v>
      </c>
      <c r="G64" s="11">
        <v>1355.11</v>
      </c>
      <c r="H64" s="11">
        <v>1324.2</v>
      </c>
      <c r="I64" s="11">
        <v>1349.82</v>
      </c>
      <c r="K64" s="167">
        <v>94.774000000000001</v>
      </c>
      <c r="M64">
        <f t="shared" si="26"/>
        <v>31</v>
      </c>
      <c r="N64">
        <f t="shared" si="27"/>
        <v>30.909999999999854</v>
      </c>
      <c r="O64">
        <f t="shared" si="28"/>
        <v>5.6799999999998363</v>
      </c>
      <c r="P64">
        <f t="shared" si="29"/>
        <v>9.0000000000145519E-2</v>
      </c>
      <c r="Q64">
        <f t="shared" si="30"/>
        <v>12.819999999999936</v>
      </c>
    </row>
    <row r="65" spans="1:17" x14ac:dyDescent="0.35">
      <c r="A65" s="19">
        <v>44691</v>
      </c>
      <c r="B65">
        <v>1299.8</v>
      </c>
      <c r="C65">
        <v>1340.9</v>
      </c>
      <c r="D65">
        <v>1291.0999999999999</v>
      </c>
      <c r="E65">
        <v>1335</v>
      </c>
      <c r="F65" s="11">
        <v>1312.1</v>
      </c>
      <c r="G65" s="11">
        <v>1345.46</v>
      </c>
      <c r="H65" s="11">
        <v>1285.67</v>
      </c>
      <c r="I65" s="11">
        <v>1345.46</v>
      </c>
      <c r="K65" s="167">
        <v>157.23400000000001</v>
      </c>
      <c r="M65">
        <f t="shared" si="26"/>
        <v>49.800000000000182</v>
      </c>
      <c r="N65">
        <f t="shared" si="27"/>
        <v>59.789999999999964</v>
      </c>
      <c r="O65">
        <f t="shared" si="28"/>
        <v>33.360000000000127</v>
      </c>
      <c r="P65">
        <f t="shared" si="29"/>
        <v>-9.9899999999997817</v>
      </c>
      <c r="Q65">
        <f t="shared" si="30"/>
        <v>10.460000000000036</v>
      </c>
    </row>
    <row r="66" spans="1:17" x14ac:dyDescent="0.35">
      <c r="A66" s="164">
        <v>44690</v>
      </c>
      <c r="B66">
        <v>1353.7</v>
      </c>
      <c r="C66">
        <v>1355.8</v>
      </c>
      <c r="D66">
        <v>1300</v>
      </c>
      <c r="E66">
        <v>1308.0999999999999</v>
      </c>
      <c r="F66" s="11">
        <v>1358.56</v>
      </c>
      <c r="G66" s="11">
        <v>1360.64</v>
      </c>
      <c r="H66" s="11">
        <v>1308.3399999999999</v>
      </c>
      <c r="I66" s="11">
        <v>1314.04</v>
      </c>
      <c r="K66" s="167">
        <v>200.87899999999999</v>
      </c>
      <c r="M66">
        <f t="shared" si="26"/>
        <v>55.799999999999955</v>
      </c>
      <c r="N66">
        <f t="shared" si="27"/>
        <v>52.300000000000182</v>
      </c>
      <c r="O66">
        <f t="shared" si="28"/>
        <v>-44.519999999999982</v>
      </c>
      <c r="P66">
        <f t="shared" si="29"/>
        <v>3.4999999999997726</v>
      </c>
      <c r="Q66">
        <f t="shared" si="30"/>
        <v>5.9400000000000546</v>
      </c>
    </row>
    <row r="67" spans="1:17" x14ac:dyDescent="0.35">
      <c r="A67" s="19">
        <v>44687</v>
      </c>
      <c r="B67">
        <v>1382</v>
      </c>
      <c r="C67">
        <v>1396.3</v>
      </c>
      <c r="D67">
        <v>1358.8</v>
      </c>
      <c r="E67">
        <v>1362</v>
      </c>
      <c r="F67" s="11">
        <v>1399.54</v>
      </c>
      <c r="G67" s="11">
        <v>1399.54</v>
      </c>
      <c r="H67" s="11">
        <v>1371</v>
      </c>
      <c r="I67" s="11">
        <v>1373.21</v>
      </c>
      <c r="K67" s="167">
        <v>129.90700000000001</v>
      </c>
      <c r="M67">
        <f t="shared" si="26"/>
        <v>37.5</v>
      </c>
      <c r="N67">
        <f t="shared" si="27"/>
        <v>28.539999999999964</v>
      </c>
      <c r="O67">
        <f t="shared" si="28"/>
        <v>-26.329999999999927</v>
      </c>
      <c r="P67">
        <f t="shared" si="29"/>
        <v>8.9600000000000364</v>
      </c>
      <c r="Q67">
        <f t="shared" si="30"/>
        <v>11.210000000000036</v>
      </c>
    </row>
    <row r="68" spans="1:17" x14ac:dyDescent="0.35">
      <c r="A68" s="19">
        <v>44686</v>
      </c>
      <c r="B68">
        <v>1392</v>
      </c>
      <c r="C68">
        <v>1403.6</v>
      </c>
      <c r="D68">
        <v>1372.6</v>
      </c>
      <c r="E68">
        <v>1402.5</v>
      </c>
      <c r="F68" s="11">
        <v>1402.6</v>
      </c>
      <c r="G68" s="11">
        <v>1405.43</v>
      </c>
      <c r="H68" s="11">
        <v>1373.42</v>
      </c>
      <c r="I68" s="11">
        <v>1404.88</v>
      </c>
      <c r="K68" s="167">
        <v>122.134</v>
      </c>
      <c r="M68">
        <f t="shared" si="26"/>
        <v>31</v>
      </c>
      <c r="N68">
        <f t="shared" si="27"/>
        <v>32.009999999999991</v>
      </c>
      <c r="O68">
        <f t="shared" si="28"/>
        <v>2.2800000000002001</v>
      </c>
      <c r="P68">
        <f t="shared" si="29"/>
        <v>-1.0099999999999909</v>
      </c>
      <c r="Q68">
        <f t="shared" si="30"/>
        <v>2.3800000000001091</v>
      </c>
    </row>
    <row r="69" spans="1:17" x14ac:dyDescent="0.35">
      <c r="A69" s="164">
        <v>44685</v>
      </c>
      <c r="B69">
        <v>1408.3</v>
      </c>
      <c r="C69">
        <v>1409.9</v>
      </c>
      <c r="D69">
        <v>1383</v>
      </c>
      <c r="E69">
        <v>1383</v>
      </c>
      <c r="F69" s="11">
        <v>1415.43</v>
      </c>
      <c r="G69" s="11">
        <v>1415.45</v>
      </c>
      <c r="H69" s="11">
        <v>1389.59</v>
      </c>
      <c r="I69" s="11">
        <v>1389.59</v>
      </c>
      <c r="K69" s="167">
        <v>114.19</v>
      </c>
      <c r="M69">
        <f t="shared" si="26"/>
        <v>26.900000000000091</v>
      </c>
      <c r="N69">
        <f t="shared" si="27"/>
        <v>25.860000000000127</v>
      </c>
      <c r="O69">
        <f t="shared" si="28"/>
        <v>-25.840000000000146</v>
      </c>
      <c r="P69">
        <f t="shared" si="29"/>
        <v>1.0399999999999636</v>
      </c>
      <c r="Q69">
        <f t="shared" si="30"/>
        <v>6.5899999999999181</v>
      </c>
    </row>
    <row r="70" spans="1:17" x14ac:dyDescent="0.35">
      <c r="A70" s="19">
        <v>44680</v>
      </c>
      <c r="B70">
        <v>1395</v>
      </c>
      <c r="C70">
        <v>1421.6</v>
      </c>
      <c r="D70">
        <v>1389.6</v>
      </c>
      <c r="E70">
        <v>1409</v>
      </c>
      <c r="F70" s="11">
        <v>1398.27</v>
      </c>
      <c r="G70" s="11">
        <v>1417.31</v>
      </c>
      <c r="H70" s="11">
        <v>1394.17</v>
      </c>
      <c r="I70" s="11">
        <v>1417.31</v>
      </c>
      <c r="K70" s="167">
        <v>128.035</v>
      </c>
      <c r="M70">
        <f t="shared" si="26"/>
        <v>32</v>
      </c>
      <c r="N70">
        <f t="shared" si="27"/>
        <v>23.139999999999873</v>
      </c>
      <c r="O70">
        <f t="shared" si="28"/>
        <v>19.039999999999964</v>
      </c>
      <c r="P70">
        <f t="shared" si="29"/>
        <v>8.8600000000001273</v>
      </c>
      <c r="Q70">
        <f t="shared" si="30"/>
        <v>8.3099999999999454</v>
      </c>
    </row>
    <row r="71" spans="1:17" x14ac:dyDescent="0.35">
      <c r="A71" s="19">
        <v>44679</v>
      </c>
      <c r="B71">
        <v>1399.7</v>
      </c>
      <c r="C71">
        <v>1406.7</v>
      </c>
      <c r="D71">
        <v>1388</v>
      </c>
      <c r="E71">
        <v>1392</v>
      </c>
      <c r="F71" s="11">
        <v>1400.6</v>
      </c>
      <c r="G71" s="11">
        <v>1407.82</v>
      </c>
      <c r="H71" s="11">
        <v>1392.24</v>
      </c>
      <c r="I71" s="11">
        <v>1400.88</v>
      </c>
      <c r="K71" s="167">
        <v>91.674999999999997</v>
      </c>
      <c r="M71">
        <f t="shared" si="26"/>
        <v>18.700000000000045</v>
      </c>
      <c r="N71">
        <f t="shared" si="27"/>
        <v>15.579999999999927</v>
      </c>
      <c r="O71">
        <f t="shared" si="28"/>
        <v>0.28000000000020009</v>
      </c>
      <c r="P71">
        <f t="shared" ref="P71:P75" si="31">M71-N71</f>
        <v>3.1200000000001182</v>
      </c>
      <c r="Q71">
        <f t="shared" si="30"/>
        <v>8.8800000000001091</v>
      </c>
    </row>
    <row r="72" spans="1:17" x14ac:dyDescent="0.35">
      <c r="A72" s="19">
        <v>44678</v>
      </c>
      <c r="B72">
        <v>1379</v>
      </c>
      <c r="C72">
        <v>1406</v>
      </c>
      <c r="D72">
        <v>1358.1</v>
      </c>
      <c r="E72">
        <v>1401</v>
      </c>
      <c r="F72" s="11">
        <v>1394.85</v>
      </c>
      <c r="G72" s="11">
        <v>1407.7</v>
      </c>
      <c r="H72" s="11">
        <v>1362.87</v>
      </c>
      <c r="I72" s="11">
        <v>1402.03</v>
      </c>
      <c r="K72" s="167">
        <v>108.117</v>
      </c>
      <c r="M72">
        <f t="shared" si="26"/>
        <v>47.900000000000091</v>
      </c>
      <c r="N72">
        <f t="shared" si="27"/>
        <v>44.830000000000155</v>
      </c>
      <c r="O72">
        <f t="shared" si="28"/>
        <v>7.1800000000000637</v>
      </c>
      <c r="P72">
        <f t="shared" si="31"/>
        <v>3.0699999999999363</v>
      </c>
      <c r="Q72">
        <f t="shared" si="30"/>
        <v>1.0299999999999727</v>
      </c>
    </row>
    <row r="73" spans="1:17" x14ac:dyDescent="0.35">
      <c r="A73" s="19">
        <v>44677</v>
      </c>
      <c r="B73">
        <v>1356.1</v>
      </c>
      <c r="C73">
        <v>1393.2</v>
      </c>
      <c r="D73">
        <v>1327.1</v>
      </c>
      <c r="E73">
        <v>1391</v>
      </c>
      <c r="F73" s="11">
        <v>1347.83</v>
      </c>
      <c r="G73" s="11">
        <v>1397.43</v>
      </c>
      <c r="H73" s="11">
        <v>1318.5</v>
      </c>
      <c r="I73" s="11">
        <v>1396.9</v>
      </c>
      <c r="K73" s="167">
        <v>181.77699999999999</v>
      </c>
      <c r="M73">
        <f t="shared" si="26"/>
        <v>66.100000000000136</v>
      </c>
      <c r="N73">
        <f t="shared" si="27"/>
        <v>78.930000000000064</v>
      </c>
      <c r="O73">
        <f t="shared" si="28"/>
        <v>49.070000000000164</v>
      </c>
      <c r="P73">
        <f t="shared" si="31"/>
        <v>-12.829999999999927</v>
      </c>
      <c r="Q73">
        <f t="shared" si="30"/>
        <v>5.9000000000000909</v>
      </c>
    </row>
    <row r="74" spans="1:17" x14ac:dyDescent="0.35">
      <c r="A74" s="164">
        <v>44676</v>
      </c>
      <c r="B74">
        <v>1442.9</v>
      </c>
      <c r="C74">
        <v>1445.6</v>
      </c>
      <c r="D74">
        <v>1345.3</v>
      </c>
      <c r="E74">
        <v>1353.1</v>
      </c>
      <c r="F74" s="11">
        <v>1444.79</v>
      </c>
      <c r="G74" s="11">
        <v>1445.62</v>
      </c>
      <c r="H74" s="11">
        <v>1356.36</v>
      </c>
      <c r="I74" s="11">
        <v>1366.39</v>
      </c>
      <c r="K74" s="167">
        <v>202.42599999999999</v>
      </c>
      <c r="M74">
        <f t="shared" si="26"/>
        <v>100.29999999999995</v>
      </c>
      <c r="N74">
        <f t="shared" si="27"/>
        <v>89.259999999999991</v>
      </c>
      <c r="O74">
        <f t="shared" si="28"/>
        <v>-78.399999999999864</v>
      </c>
      <c r="P74">
        <f t="shared" si="31"/>
        <v>11.039999999999964</v>
      </c>
      <c r="Q74">
        <f t="shared" si="30"/>
        <v>13.290000000000191</v>
      </c>
    </row>
    <row r="75" spans="1:17" x14ac:dyDescent="0.35">
      <c r="A75" s="19">
        <v>44673</v>
      </c>
      <c r="B75">
        <v>1442.3</v>
      </c>
      <c r="C75">
        <v>1459.8</v>
      </c>
      <c r="D75">
        <v>1434.7</v>
      </c>
      <c r="E75">
        <v>1445</v>
      </c>
      <c r="F75" s="11">
        <v>1439.32</v>
      </c>
      <c r="G75" s="11">
        <v>1455.15</v>
      </c>
      <c r="H75" s="11">
        <v>1419.05</v>
      </c>
      <c r="I75" s="11">
        <v>1444.32</v>
      </c>
      <c r="K75" s="167">
        <v>150.755</v>
      </c>
      <c r="M75">
        <f t="shared" si="26"/>
        <v>25.099999999999909</v>
      </c>
      <c r="N75">
        <f t="shared" si="27"/>
        <v>36.100000000000136</v>
      </c>
      <c r="O75">
        <f t="shared" si="28"/>
        <v>5</v>
      </c>
      <c r="P75">
        <f t="shared" si="31"/>
        <v>-11.000000000000227</v>
      </c>
      <c r="Q75">
        <f t="shared" si="30"/>
        <v>-0.68000000000006366</v>
      </c>
    </row>
    <row r="76" spans="1:17" x14ac:dyDescent="0.35">
      <c r="A76" s="19">
        <v>44672</v>
      </c>
      <c r="F76" s="11">
        <v>1434.77</v>
      </c>
      <c r="G76" s="11">
        <v>1452.41</v>
      </c>
      <c r="H76" s="11">
        <v>1422.7</v>
      </c>
      <c r="I76" s="11">
        <v>1426.87</v>
      </c>
      <c r="K76" s="167">
        <v>172.35900000000001</v>
      </c>
      <c r="M76">
        <f t="shared" si="26"/>
        <v>0</v>
      </c>
      <c r="N76">
        <f t="shared" si="27"/>
        <v>29.710000000000036</v>
      </c>
      <c r="O76">
        <f t="shared" si="28"/>
        <v>-7.9000000000000909</v>
      </c>
    </row>
    <row r="77" spans="1:17" x14ac:dyDescent="0.35">
      <c r="A77" s="19">
        <v>44671</v>
      </c>
      <c r="F77" s="11">
        <v>1440.9</v>
      </c>
      <c r="G77" s="11">
        <v>1453.81</v>
      </c>
      <c r="H77" s="11">
        <v>1434.87</v>
      </c>
      <c r="I77" s="11">
        <v>1435.5</v>
      </c>
      <c r="K77" s="167">
        <v>150.22200000000001</v>
      </c>
      <c r="M77">
        <f t="shared" si="26"/>
        <v>0</v>
      </c>
      <c r="N77">
        <f t="shared" si="27"/>
        <v>18.940000000000055</v>
      </c>
      <c r="O77">
        <f t="shared" si="28"/>
        <v>-5.4000000000000909</v>
      </c>
    </row>
    <row r="78" spans="1:17" x14ac:dyDescent="0.35">
      <c r="A78" s="19">
        <v>44670</v>
      </c>
      <c r="F78" s="11">
        <v>1471.63</v>
      </c>
      <c r="G78" s="11">
        <v>1478.5</v>
      </c>
      <c r="H78" s="11">
        <v>1440.61</v>
      </c>
      <c r="I78" s="11">
        <v>1440.61</v>
      </c>
      <c r="K78" s="167">
        <v>156.62</v>
      </c>
      <c r="M78">
        <f t="shared" si="26"/>
        <v>0</v>
      </c>
      <c r="N78">
        <f t="shared" si="27"/>
        <v>37.8900000000001</v>
      </c>
      <c r="O78">
        <f t="shared" si="28"/>
        <v>-31.020000000000209</v>
      </c>
    </row>
    <row r="79" spans="1:17" x14ac:dyDescent="0.35">
      <c r="A79" s="164">
        <v>44669</v>
      </c>
      <c r="F79" s="11">
        <v>1493.17</v>
      </c>
      <c r="G79" s="11">
        <v>1493.24</v>
      </c>
      <c r="H79" s="11">
        <v>1466.73</v>
      </c>
      <c r="I79" s="11">
        <v>1468.25</v>
      </c>
      <c r="K79" s="167">
        <v>194.44200000000001</v>
      </c>
      <c r="M79">
        <f t="shared" si="26"/>
        <v>0</v>
      </c>
      <c r="N79">
        <f t="shared" si="27"/>
        <v>26.509999999999991</v>
      </c>
      <c r="O79">
        <f t="shared" si="28"/>
        <v>-24.920000000000073</v>
      </c>
    </row>
    <row r="80" spans="1:17" x14ac:dyDescent="0.35">
      <c r="A80" s="19">
        <v>44666</v>
      </c>
      <c r="F80" s="11">
        <v>1514.89</v>
      </c>
      <c r="G80" s="11">
        <v>1518.85</v>
      </c>
      <c r="H80" s="11">
        <v>1491.26</v>
      </c>
      <c r="I80" s="11">
        <v>1493.74</v>
      </c>
      <c r="K80" s="167">
        <v>181.76499999999999</v>
      </c>
      <c r="M80">
        <f t="shared" si="26"/>
        <v>0</v>
      </c>
      <c r="N80">
        <f t="shared" si="27"/>
        <v>27.589999999999918</v>
      </c>
      <c r="O80">
        <f t="shared" si="28"/>
        <v>-21.150000000000091</v>
      </c>
    </row>
    <row r="81" spans="1:15" x14ac:dyDescent="0.35">
      <c r="A81" s="19">
        <v>44665</v>
      </c>
      <c r="F81" s="11">
        <v>1526.49</v>
      </c>
      <c r="G81" s="11">
        <v>1534.28</v>
      </c>
      <c r="H81" s="11">
        <v>1517.07</v>
      </c>
      <c r="I81" s="11">
        <v>1518.01</v>
      </c>
      <c r="K81" s="167">
        <v>119.60899999999999</v>
      </c>
      <c r="M81">
        <f t="shared" si="26"/>
        <v>0</v>
      </c>
      <c r="N81">
        <f t="shared" si="27"/>
        <v>17.210000000000036</v>
      </c>
      <c r="O81">
        <f t="shared" si="28"/>
        <v>-8.4800000000000182</v>
      </c>
    </row>
    <row r="82" spans="1:15" x14ac:dyDescent="0.35">
      <c r="A82" s="19">
        <v>44664</v>
      </c>
      <c r="F82" s="11">
        <v>1512.37</v>
      </c>
      <c r="G82" s="11">
        <v>1526.44</v>
      </c>
      <c r="H82" s="11">
        <v>1506.45</v>
      </c>
      <c r="I82" s="11">
        <v>1525.39</v>
      </c>
      <c r="K82" s="167">
        <v>143.87200000000001</v>
      </c>
      <c r="M82">
        <f t="shared" si="26"/>
        <v>0</v>
      </c>
      <c r="N82">
        <f t="shared" si="27"/>
        <v>19.990000000000009</v>
      </c>
      <c r="O82">
        <f t="shared" si="28"/>
        <v>13.020000000000209</v>
      </c>
    </row>
    <row r="83" spans="1:15" x14ac:dyDescent="0.35">
      <c r="A83" s="19">
        <v>44663</v>
      </c>
      <c r="F83" s="11">
        <v>1530.3</v>
      </c>
      <c r="G83" s="11">
        <v>1532.03</v>
      </c>
      <c r="H83" s="11">
        <v>1506.41</v>
      </c>
      <c r="I83" s="11">
        <v>1507.2</v>
      </c>
      <c r="K83" s="167">
        <v>152.482</v>
      </c>
      <c r="M83">
        <f t="shared" si="26"/>
        <v>0</v>
      </c>
      <c r="N83">
        <f t="shared" si="27"/>
        <v>25.619999999999891</v>
      </c>
      <c r="O83">
        <f t="shared" si="28"/>
        <v>-23.099999999999909</v>
      </c>
    </row>
    <row r="84" spans="1:15" x14ac:dyDescent="0.35">
      <c r="A84" s="164">
        <v>44659</v>
      </c>
      <c r="F84" s="11">
        <v>1541.78</v>
      </c>
      <c r="G84" s="11">
        <v>1547.6</v>
      </c>
      <c r="H84" s="11">
        <v>1524.31</v>
      </c>
      <c r="I84" s="11">
        <v>1524.31</v>
      </c>
      <c r="K84" s="167">
        <v>156.33600000000001</v>
      </c>
      <c r="M84">
        <f t="shared" si="26"/>
        <v>0</v>
      </c>
      <c r="N84">
        <f t="shared" si="27"/>
        <v>23.289999999999964</v>
      </c>
      <c r="O84">
        <f t="shared" si="28"/>
        <v>-17.470000000000027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11" sqref="D11"/>
    </sheetView>
  </sheetViews>
  <sheetFormatPr defaultRowHeight="14.5" x14ac:dyDescent="0.35"/>
  <cols>
    <col min="1" max="1" width="10.453125" bestFit="1" customWidth="1"/>
    <col min="2" max="2" width="32.453125" bestFit="1" customWidth="1"/>
    <col min="3" max="3" width="9.1796875" customWidth="1"/>
    <col min="4" max="4" width="64.26953125" bestFit="1" customWidth="1"/>
  </cols>
  <sheetData>
    <row r="1" spans="1:6" x14ac:dyDescent="0.35">
      <c r="A1" t="s">
        <v>12</v>
      </c>
      <c r="B1" t="s">
        <v>11</v>
      </c>
      <c r="C1" t="s">
        <v>13</v>
      </c>
      <c r="D1" t="s">
        <v>14</v>
      </c>
      <c r="E1" t="s">
        <v>1</v>
      </c>
    </row>
    <row r="2" spans="1:6" x14ac:dyDescent="0.35">
      <c r="A2" s="2" t="s">
        <v>9</v>
      </c>
      <c r="B2" s="2" t="s">
        <v>60</v>
      </c>
      <c r="C2" s="2" t="s">
        <v>15</v>
      </c>
      <c r="D2" s="2" t="s">
        <v>61</v>
      </c>
      <c r="E2" s="1" t="s">
        <v>10</v>
      </c>
    </row>
    <row r="3" spans="1:6" x14ac:dyDescent="0.35">
      <c r="A3" s="2" t="s">
        <v>9</v>
      </c>
      <c r="B3" t="s">
        <v>17</v>
      </c>
      <c r="C3" t="s">
        <v>18</v>
      </c>
      <c r="E3" s="1" t="s">
        <v>16</v>
      </c>
    </row>
    <row r="4" spans="1:6" x14ac:dyDescent="0.35">
      <c r="A4" s="10" t="s">
        <v>19</v>
      </c>
      <c r="B4" s="11" t="s">
        <v>20</v>
      </c>
      <c r="C4" s="11" t="s">
        <v>21</v>
      </c>
      <c r="D4" s="11" t="s">
        <v>59</v>
      </c>
      <c r="E4" s="11" t="s">
        <v>22</v>
      </c>
    </row>
    <row r="5" spans="1:6" x14ac:dyDescent="0.35">
      <c r="A5" s="3" t="s">
        <v>71</v>
      </c>
      <c r="B5" t="s">
        <v>67</v>
      </c>
      <c r="C5" t="s">
        <v>68</v>
      </c>
      <c r="D5" t="s">
        <v>66</v>
      </c>
      <c r="E5" t="s">
        <v>64</v>
      </c>
      <c r="F5" t="s">
        <v>65</v>
      </c>
    </row>
    <row r="6" spans="1:6" x14ac:dyDescent="0.35">
      <c r="A6" s="3" t="s">
        <v>71</v>
      </c>
      <c r="B6" t="s">
        <v>69</v>
      </c>
      <c r="C6" t="s">
        <v>70</v>
      </c>
    </row>
    <row r="7" spans="1:6" x14ac:dyDescent="0.35">
      <c r="A7" s="19">
        <v>43670</v>
      </c>
      <c r="B7" t="s">
        <v>96</v>
      </c>
      <c r="C7" t="s">
        <v>97</v>
      </c>
      <c r="D7" t="s">
        <v>94</v>
      </c>
      <c r="E7" t="s">
        <v>95</v>
      </c>
    </row>
  </sheetData>
  <hyperlinks>
    <hyperlink ref="E2" r:id="rId1"/>
    <hyperlink ref="E3"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D15" sqref="D15"/>
    </sheetView>
  </sheetViews>
  <sheetFormatPr defaultRowHeight="14.5" x14ac:dyDescent="0.35"/>
  <cols>
    <col min="1" max="1" width="10.453125" bestFit="1" customWidth="1"/>
    <col min="2" max="2" width="49.1796875" bestFit="1" customWidth="1"/>
    <col min="3" max="3" width="9.1796875" style="7"/>
    <col min="4" max="4" width="88.26953125" bestFit="1" customWidth="1"/>
  </cols>
  <sheetData>
    <row r="1" spans="1:5" x14ac:dyDescent="0.35">
      <c r="A1" t="s">
        <v>73</v>
      </c>
    </row>
    <row r="3" spans="1:5" x14ac:dyDescent="0.35">
      <c r="A3" s="3" t="s">
        <v>19</v>
      </c>
      <c r="B3" t="s">
        <v>47</v>
      </c>
      <c r="D3" t="s">
        <v>48</v>
      </c>
      <c r="E3" t="s">
        <v>46</v>
      </c>
    </row>
    <row r="4" spans="1:5" x14ac:dyDescent="0.35">
      <c r="A4" s="3" t="s">
        <v>19</v>
      </c>
      <c r="B4" t="s">
        <v>53</v>
      </c>
      <c r="D4" t="s">
        <v>54</v>
      </c>
      <c r="E4" t="s">
        <v>52</v>
      </c>
    </row>
    <row r="6" spans="1:5" x14ac:dyDescent="0.35">
      <c r="A6" t="s">
        <v>12</v>
      </c>
      <c r="B6" t="s">
        <v>11</v>
      </c>
      <c r="C6" s="7" t="s">
        <v>13</v>
      </c>
      <c r="D6" t="s">
        <v>14</v>
      </c>
      <c r="E6" t="s">
        <v>1</v>
      </c>
    </row>
    <row r="7" spans="1:5" x14ac:dyDescent="0.35">
      <c r="A7" s="3" t="s">
        <v>19</v>
      </c>
      <c r="B7" t="s">
        <v>23</v>
      </c>
      <c r="C7" s="7">
        <v>766</v>
      </c>
      <c r="D7" t="s">
        <v>25</v>
      </c>
      <c r="E7" t="s">
        <v>24</v>
      </c>
    </row>
    <row r="8" spans="1:5" x14ac:dyDescent="0.35">
      <c r="A8" s="3" t="s">
        <v>19</v>
      </c>
      <c r="B8" t="s">
        <v>23</v>
      </c>
      <c r="C8" s="7">
        <v>563</v>
      </c>
      <c r="D8" t="s">
        <v>27</v>
      </c>
      <c r="E8" t="s">
        <v>26</v>
      </c>
    </row>
    <row r="9" spans="1:5" x14ac:dyDescent="0.35">
      <c r="A9" s="4" t="s">
        <v>19</v>
      </c>
      <c r="B9" s="5" t="s">
        <v>29</v>
      </c>
      <c r="C9" s="8">
        <v>1175</v>
      </c>
      <c r="D9" s="5" t="s">
        <v>30</v>
      </c>
      <c r="E9" t="s">
        <v>28</v>
      </c>
    </row>
    <row r="10" spans="1:5" x14ac:dyDescent="0.35">
      <c r="A10" s="3" t="s">
        <v>19</v>
      </c>
      <c r="B10" s="6" t="s">
        <v>33</v>
      </c>
      <c r="C10" s="9">
        <v>95</v>
      </c>
      <c r="D10" s="6" t="s">
        <v>32</v>
      </c>
      <c r="E10" t="s">
        <v>31</v>
      </c>
    </row>
    <row r="11" spans="1:5" x14ac:dyDescent="0.35">
      <c r="A11" s="3" t="s">
        <v>19</v>
      </c>
      <c r="B11" s="6" t="s">
        <v>35</v>
      </c>
      <c r="C11" s="9">
        <v>698</v>
      </c>
      <c r="D11" s="6" t="s">
        <v>36</v>
      </c>
      <c r="E11" t="s">
        <v>34</v>
      </c>
    </row>
    <row r="12" spans="1:5" x14ac:dyDescent="0.35">
      <c r="A12" s="3" t="s">
        <v>19</v>
      </c>
      <c r="B12" s="6" t="s">
        <v>38</v>
      </c>
      <c r="C12" s="9">
        <v>150</v>
      </c>
      <c r="D12" s="6" t="s">
        <v>39</v>
      </c>
      <c r="E12" t="s">
        <v>37</v>
      </c>
    </row>
    <row r="13" spans="1:5" x14ac:dyDescent="0.35">
      <c r="A13" s="3" t="s">
        <v>19</v>
      </c>
      <c r="B13" s="6" t="s">
        <v>41</v>
      </c>
      <c r="C13" s="9">
        <v>70</v>
      </c>
      <c r="D13" s="6" t="s">
        <v>45</v>
      </c>
      <c r="E13" t="s">
        <v>40</v>
      </c>
    </row>
    <row r="14" spans="1:5" x14ac:dyDescent="0.35">
      <c r="A14" s="3" t="s">
        <v>19</v>
      </c>
      <c r="B14" s="6" t="s">
        <v>43</v>
      </c>
      <c r="C14" s="9">
        <v>199</v>
      </c>
      <c r="D14" s="6" t="s">
        <v>44</v>
      </c>
      <c r="E14" t="s">
        <v>42</v>
      </c>
    </row>
    <row r="15" spans="1:5" x14ac:dyDescent="0.35">
      <c r="A15" s="3" t="s">
        <v>19</v>
      </c>
      <c r="B15" s="6" t="s">
        <v>50</v>
      </c>
      <c r="C15" s="9">
        <v>199</v>
      </c>
      <c r="D15" s="6" t="s">
        <v>51</v>
      </c>
      <c r="E15" t="s">
        <v>49</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election activeCell="C8" sqref="C8"/>
    </sheetView>
  </sheetViews>
  <sheetFormatPr defaultRowHeight="14.5" x14ac:dyDescent="0.35"/>
  <cols>
    <col min="2" max="2" width="47.1796875" bestFit="1" customWidth="1"/>
    <col min="3" max="3" width="60" customWidth="1"/>
  </cols>
  <sheetData>
    <row r="1" spans="2:3" x14ac:dyDescent="0.35">
      <c r="B1" t="s">
        <v>1</v>
      </c>
      <c r="C1" t="s">
        <v>2</v>
      </c>
    </row>
    <row r="2" spans="2:3" x14ac:dyDescent="0.35">
      <c r="B2" t="s">
        <v>0</v>
      </c>
      <c r="C2" t="s">
        <v>3</v>
      </c>
    </row>
    <row r="3" spans="2:3" x14ac:dyDescent="0.35">
      <c r="B3" t="s">
        <v>4</v>
      </c>
    </row>
    <row r="4" spans="2:3" x14ac:dyDescent="0.35">
      <c r="B4" t="s">
        <v>5</v>
      </c>
      <c r="C4" t="s">
        <v>6</v>
      </c>
    </row>
    <row r="5" spans="2:3" x14ac:dyDescent="0.35">
      <c r="B5" t="s">
        <v>7</v>
      </c>
      <c r="C5" t="s">
        <v>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B4" sqref="B4"/>
    </sheetView>
  </sheetViews>
  <sheetFormatPr defaultRowHeight="14.5" x14ac:dyDescent="0.35"/>
  <cols>
    <col min="2" max="2" width="52.1796875" customWidth="1"/>
    <col min="3" max="3" width="15" style="78" customWidth="1"/>
    <col min="4" max="4" width="15" customWidth="1"/>
    <col min="5" max="5" width="20.54296875" customWidth="1"/>
    <col min="6" max="6" width="11.1796875" customWidth="1"/>
  </cols>
  <sheetData>
    <row r="1" spans="1:6" x14ac:dyDescent="0.35">
      <c r="A1" t="s">
        <v>430</v>
      </c>
    </row>
    <row r="2" spans="1:6" x14ac:dyDescent="0.35">
      <c r="B2" s="79" t="s">
        <v>431</v>
      </c>
      <c r="C2" s="80" t="s">
        <v>432</v>
      </c>
      <c r="D2" s="79" t="s">
        <v>435</v>
      </c>
      <c r="E2" s="79" t="s">
        <v>433</v>
      </c>
      <c r="F2" s="79" t="s">
        <v>434</v>
      </c>
    </row>
    <row r="3" spans="1:6" x14ac:dyDescent="0.35">
      <c r="C3" s="78">
        <v>44297</v>
      </c>
      <c r="D3" t="s">
        <v>436</v>
      </c>
    </row>
  </sheetData>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4" workbookViewId="0">
      <selection activeCell="A22" sqref="A22"/>
    </sheetView>
  </sheetViews>
  <sheetFormatPr defaultRowHeight="14.5" x14ac:dyDescent="0.35"/>
  <cols>
    <col min="3" max="3" width="20" bestFit="1" customWidth="1"/>
    <col min="4" max="4" width="24.7265625" bestFit="1" customWidth="1"/>
    <col min="6" max="6" width="12.81640625" bestFit="1" customWidth="1"/>
    <col min="8" max="8" width="9.54296875" bestFit="1" customWidth="1"/>
  </cols>
  <sheetData>
    <row r="1" spans="1:11" x14ac:dyDescent="0.35">
      <c r="A1" t="s">
        <v>344</v>
      </c>
    </row>
    <row r="4" spans="1:11" x14ac:dyDescent="0.35">
      <c r="B4" t="s">
        <v>348</v>
      </c>
    </row>
    <row r="5" spans="1:11" x14ac:dyDescent="0.35">
      <c r="B5" s="60" t="s">
        <v>341</v>
      </c>
      <c r="C5" s="60" t="s">
        <v>343</v>
      </c>
      <c r="D5" s="60" t="s">
        <v>353</v>
      </c>
      <c r="E5" s="60" t="s">
        <v>352</v>
      </c>
      <c r="F5" s="60" t="s">
        <v>350</v>
      </c>
      <c r="H5" s="60" t="s">
        <v>347</v>
      </c>
      <c r="I5" s="60" t="s">
        <v>345</v>
      </c>
      <c r="J5" s="60" t="s">
        <v>346</v>
      </c>
      <c r="K5" s="60" t="s">
        <v>342</v>
      </c>
    </row>
    <row r="6" spans="1:11" x14ac:dyDescent="0.35">
      <c r="B6" s="60">
        <v>2021</v>
      </c>
      <c r="C6" s="60">
        <v>12</v>
      </c>
      <c r="D6" s="60">
        <f>E6-C6</f>
        <v>1.2000000000000011</v>
      </c>
      <c r="E6" s="60">
        <f>1.1*C6</f>
        <v>13.200000000000001</v>
      </c>
      <c r="F6" s="60">
        <f>ROUNDDOWN(E6,1)</f>
        <v>13.2</v>
      </c>
      <c r="H6" s="60">
        <v>1</v>
      </c>
      <c r="I6" s="60">
        <v>1000</v>
      </c>
      <c r="J6" s="60">
        <f>11</f>
        <v>11</v>
      </c>
      <c r="K6" s="60">
        <f>ROUNDDOWN((1.1*I6-I6)*(J6/12)+I6,0)</f>
        <v>1091</v>
      </c>
    </row>
    <row r="7" spans="1:11" x14ac:dyDescent="0.35">
      <c r="B7" s="60">
        <v>2022</v>
      </c>
      <c r="C7" s="60">
        <v>12</v>
      </c>
      <c r="D7" s="60">
        <f>E7-C7-C6-D6</f>
        <v>2.5200000000000014</v>
      </c>
      <c r="E7" s="60">
        <f>1.1*(C7+F6)</f>
        <v>27.720000000000002</v>
      </c>
      <c r="F7" s="60">
        <f t="shared" ref="F7:F12" si="0">ROUNDDOWN(E7,1)</f>
        <v>27.7</v>
      </c>
      <c r="H7" s="60">
        <v>2</v>
      </c>
      <c r="I7" s="60">
        <v>1000</v>
      </c>
      <c r="J7" s="60">
        <v>10</v>
      </c>
      <c r="K7" s="60">
        <f t="shared" ref="K7:K17" si="1">ROUNDDOWN((1.1*I7-I7)*(J7/12)+I7,0)</f>
        <v>1083</v>
      </c>
    </row>
    <row r="8" spans="1:11" x14ac:dyDescent="0.35">
      <c r="B8" s="60">
        <v>2023</v>
      </c>
      <c r="C8" s="60">
        <v>15</v>
      </c>
      <c r="D8" s="60">
        <f>E8-C8-C7-C6-D7-D6</f>
        <v>4.2500000000000036</v>
      </c>
      <c r="E8" s="60">
        <f t="shared" ref="E8:E12" si="2">1.1*(C8+F7)</f>
        <v>46.970000000000006</v>
      </c>
      <c r="F8" s="60">
        <f t="shared" si="0"/>
        <v>46.9</v>
      </c>
      <c r="H8" s="60">
        <v>3</v>
      </c>
      <c r="I8" s="60">
        <v>1000</v>
      </c>
      <c r="J8" s="60">
        <v>9</v>
      </c>
      <c r="K8" s="60">
        <f t="shared" si="1"/>
        <v>1075</v>
      </c>
    </row>
    <row r="9" spans="1:11" x14ac:dyDescent="0.35">
      <c r="B9" s="60">
        <v>2024</v>
      </c>
      <c r="C9" s="60">
        <v>15</v>
      </c>
      <c r="D9" s="60">
        <f>E9-C9-C8-C7-C6-D8-D7-D6</f>
        <v>6.1199999999999974</v>
      </c>
      <c r="E9" s="60">
        <f t="shared" si="2"/>
        <v>68.09</v>
      </c>
      <c r="F9" s="60">
        <f t="shared" si="0"/>
        <v>68</v>
      </c>
      <c r="H9" s="60">
        <v>4</v>
      </c>
      <c r="I9" s="60">
        <v>1000</v>
      </c>
      <c r="J9" s="60">
        <v>8</v>
      </c>
      <c r="K9" s="60">
        <f t="shared" si="1"/>
        <v>1066</v>
      </c>
    </row>
    <row r="10" spans="1:11" x14ac:dyDescent="0.35">
      <c r="B10" s="60">
        <v>2025</v>
      </c>
      <c r="C10" s="60">
        <v>18</v>
      </c>
      <c r="D10" s="60">
        <f>E10-C10-C9-C8-C7-C6-D9-D8-D7-D6</f>
        <v>8.5100000000000051</v>
      </c>
      <c r="E10" s="60">
        <f t="shared" si="2"/>
        <v>94.600000000000009</v>
      </c>
      <c r="F10" s="60">
        <f t="shared" si="0"/>
        <v>94.6</v>
      </c>
      <c r="H10" s="60">
        <v>5</v>
      </c>
      <c r="I10" s="60">
        <v>1000</v>
      </c>
      <c r="J10" s="60">
        <v>7</v>
      </c>
      <c r="K10" s="60">
        <f t="shared" si="1"/>
        <v>1058</v>
      </c>
    </row>
    <row r="11" spans="1:11" x14ac:dyDescent="0.35">
      <c r="B11" s="60">
        <v>2026</v>
      </c>
      <c r="C11" s="60">
        <v>18</v>
      </c>
      <c r="D11" s="60">
        <f>E11-C11-C10-C9-C8-C7-C6-D10-D9-D8-D7-D6</f>
        <v>11.259999999999991</v>
      </c>
      <c r="E11" s="60">
        <f t="shared" si="2"/>
        <v>123.86</v>
      </c>
      <c r="F11" s="60">
        <f t="shared" si="0"/>
        <v>123.8</v>
      </c>
      <c r="H11" s="60">
        <v>6</v>
      </c>
      <c r="I11" s="60">
        <v>1000</v>
      </c>
      <c r="J11" s="60">
        <v>6</v>
      </c>
      <c r="K11" s="60">
        <f t="shared" si="1"/>
        <v>1050</v>
      </c>
    </row>
    <row r="12" spans="1:11" x14ac:dyDescent="0.35">
      <c r="B12" s="60">
        <v>2027</v>
      </c>
      <c r="C12" s="60">
        <v>18</v>
      </c>
      <c r="D12" s="60">
        <f>E12-SUM(C6:C12)-D11-D10-D9-D8-D7-D6</f>
        <v>14.120000000000019</v>
      </c>
      <c r="E12" s="60">
        <f t="shared" si="2"/>
        <v>155.98000000000002</v>
      </c>
      <c r="F12" s="60">
        <f t="shared" si="0"/>
        <v>155.9</v>
      </c>
      <c r="H12" s="60">
        <v>7</v>
      </c>
      <c r="I12" s="60">
        <v>1000</v>
      </c>
      <c r="J12" s="60">
        <v>5</v>
      </c>
      <c r="K12" s="60">
        <f t="shared" si="1"/>
        <v>1041</v>
      </c>
    </row>
    <row r="13" spans="1:11" x14ac:dyDescent="0.35">
      <c r="H13" s="60">
        <v>8</v>
      </c>
      <c r="I13" s="60">
        <v>1000</v>
      </c>
      <c r="J13" s="60">
        <v>4</v>
      </c>
      <c r="K13" s="60">
        <f t="shared" si="1"/>
        <v>1033</v>
      </c>
    </row>
    <row r="14" spans="1:11" x14ac:dyDescent="0.35">
      <c r="H14" s="60">
        <v>9</v>
      </c>
      <c r="I14" s="60">
        <v>1000</v>
      </c>
      <c r="J14" s="60">
        <v>3</v>
      </c>
      <c r="K14" s="60">
        <f t="shared" si="1"/>
        <v>1025</v>
      </c>
    </row>
    <row r="15" spans="1:11" x14ac:dyDescent="0.35">
      <c r="B15" t="s">
        <v>349</v>
      </c>
      <c r="H15" s="60">
        <v>10</v>
      </c>
      <c r="I15" s="60">
        <v>1000</v>
      </c>
      <c r="J15" s="60">
        <v>2</v>
      </c>
      <c r="K15" s="60">
        <f t="shared" si="1"/>
        <v>1016</v>
      </c>
    </row>
    <row r="16" spans="1:11" x14ac:dyDescent="0.35">
      <c r="B16" s="60" t="s">
        <v>341</v>
      </c>
      <c r="C16" s="60" t="s">
        <v>343</v>
      </c>
      <c r="D16" s="60" t="s">
        <v>353</v>
      </c>
      <c r="E16" s="60" t="s">
        <v>352</v>
      </c>
      <c r="F16" s="60" t="s">
        <v>350</v>
      </c>
      <c r="H16" s="60">
        <v>11</v>
      </c>
      <c r="I16" s="60">
        <v>1000</v>
      </c>
      <c r="J16" s="60">
        <v>1</v>
      </c>
      <c r="K16" s="60">
        <f t="shared" si="1"/>
        <v>1008</v>
      </c>
    </row>
    <row r="17" spans="2:11" x14ac:dyDescent="0.35">
      <c r="B17" s="60">
        <v>2021</v>
      </c>
      <c r="C17" s="60">
        <v>12</v>
      </c>
      <c r="D17" s="60">
        <f>E17-C17</f>
        <v>0.54599999999999937</v>
      </c>
      <c r="E17" s="60">
        <v>12.545999999999999</v>
      </c>
      <c r="F17" s="60">
        <f>ROUNDDOWN(E17,1)</f>
        <v>12.5</v>
      </c>
      <c r="H17" s="60">
        <v>12</v>
      </c>
      <c r="I17" s="60">
        <v>1000</v>
      </c>
      <c r="J17" s="60">
        <v>0</v>
      </c>
      <c r="K17" s="60">
        <f t="shared" si="1"/>
        <v>1000</v>
      </c>
    </row>
    <row r="18" spans="2:11" x14ac:dyDescent="0.35">
      <c r="B18" s="60">
        <v>2022</v>
      </c>
      <c r="C18" s="60">
        <v>12</v>
      </c>
      <c r="D18" s="60">
        <f>E18-C18-C17-D17</f>
        <v>1.6840000000000046</v>
      </c>
      <c r="E18" s="60">
        <f>F17*1.1+C18*1.04</f>
        <v>26.230000000000004</v>
      </c>
      <c r="F18" s="60">
        <f t="shared" ref="F18:F23" si="3">ROUNDDOWN(E18,1)</f>
        <v>26.2</v>
      </c>
      <c r="H18" s="60"/>
      <c r="I18" s="60"/>
      <c r="J18" s="60"/>
      <c r="K18" s="60"/>
    </row>
    <row r="19" spans="2:11" x14ac:dyDescent="0.35">
      <c r="B19" s="60">
        <v>2023</v>
      </c>
      <c r="C19" s="60">
        <v>15</v>
      </c>
      <c r="D19" s="60">
        <f>E19-C19-C18-C17-D18-D17</f>
        <v>3.1899999999999977</v>
      </c>
      <c r="E19" s="60">
        <f t="shared" ref="E19:E23" si="4">F18*1.1+C19*1.04</f>
        <v>44.42</v>
      </c>
      <c r="F19" s="60">
        <f t="shared" si="3"/>
        <v>44.4</v>
      </c>
      <c r="H19" s="60" t="s">
        <v>351</v>
      </c>
      <c r="I19" s="60">
        <f>SUM(I6:I17)</f>
        <v>12000</v>
      </c>
      <c r="J19" s="60"/>
      <c r="K19" s="60">
        <f>SUM(K6:K17)</f>
        <v>12546</v>
      </c>
    </row>
    <row r="20" spans="2:11" x14ac:dyDescent="0.35">
      <c r="B20" s="60">
        <v>2024</v>
      </c>
      <c r="C20" s="60">
        <v>15</v>
      </c>
      <c r="D20" s="60">
        <f>E20-C20-C19-C18-C17-D19-D18-D17</f>
        <v>5.019999999999996</v>
      </c>
      <c r="E20" s="60">
        <f t="shared" si="4"/>
        <v>64.44</v>
      </c>
      <c r="F20" s="60">
        <f t="shared" si="3"/>
        <v>64.400000000000006</v>
      </c>
    </row>
    <row r="21" spans="2:11" x14ac:dyDescent="0.35">
      <c r="B21" s="60">
        <v>2025</v>
      </c>
      <c r="C21" s="60">
        <v>18</v>
      </c>
      <c r="D21" s="60">
        <f>E21-C21-C20-C19-C18-C17-D20-D19-D18-D17</f>
        <v>7.1200000000000188</v>
      </c>
      <c r="E21" s="60">
        <f t="shared" si="4"/>
        <v>89.560000000000016</v>
      </c>
      <c r="F21" s="60">
        <f t="shared" si="3"/>
        <v>89.5</v>
      </c>
    </row>
    <row r="22" spans="2:11" x14ac:dyDescent="0.35">
      <c r="B22" s="60">
        <v>2026</v>
      </c>
      <c r="C22" s="60">
        <v>18</v>
      </c>
      <c r="D22" s="60">
        <f>E22-C22-C21-C20-C19-C18-C17-D21-D20-D19-D18-D17</f>
        <v>9.6099999999999852</v>
      </c>
      <c r="E22" s="60">
        <f t="shared" si="4"/>
        <v>117.17</v>
      </c>
      <c r="F22" s="60">
        <f t="shared" si="3"/>
        <v>117.1</v>
      </c>
    </row>
    <row r="23" spans="2:11" x14ac:dyDescent="0.35">
      <c r="B23" s="60">
        <v>2027</v>
      </c>
      <c r="C23" s="60">
        <v>18</v>
      </c>
      <c r="D23" s="60">
        <f>E23-SUM(C17:C23)-D22-D21-D20-D19-D18-D17</f>
        <v>12.36</v>
      </c>
      <c r="E23" s="60">
        <f t="shared" si="4"/>
        <v>147.53</v>
      </c>
      <c r="F23" s="60">
        <f t="shared" si="3"/>
        <v>147.5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KeHoach</vt:lpstr>
      <vt:lpstr>CK</vt:lpstr>
      <vt:lpstr>PS</vt:lpstr>
      <vt:lpstr>TKPS</vt:lpstr>
      <vt:lpstr>Mua</vt:lpstr>
      <vt:lpstr>Xedien</vt:lpstr>
      <vt:lpstr>Music</vt:lpstr>
      <vt:lpstr>Sach</vt:lpstr>
      <vt:lpstr>TKCN</vt:lpstr>
      <vt:lpstr>NH</vt:lpstr>
      <vt:lpstr>CP68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2022-07-22T10:19:09Z</dcterms:modified>
</cp:coreProperties>
</file>