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877" i="1" l="1"/>
  <c r="J5877" i="1"/>
  <c r="J5869" i="1"/>
  <c r="L5859" i="1"/>
  <c r="J5859" i="1"/>
  <c r="L5857" i="1"/>
  <c r="J5857" i="1"/>
  <c r="L5855" i="1"/>
  <c r="J5855" i="1"/>
  <c r="L5879" i="1"/>
  <c r="K5854" i="1"/>
  <c r="J5854" i="1"/>
  <c r="J5853" i="1"/>
  <c r="K5853" i="1"/>
  <c r="L5853" i="1"/>
  <c r="L5852" i="1"/>
  <c r="J5852" i="1"/>
  <c r="J5878" i="1"/>
  <c r="K5837" i="1"/>
  <c r="J5851" i="1"/>
  <c r="J5837" i="1"/>
  <c r="J5830" i="1"/>
  <c r="K5830" i="1"/>
  <c r="K5829" i="1"/>
  <c r="J5829" i="1"/>
  <c r="L5771" i="1"/>
  <c r="L5823" i="1"/>
  <c r="J5823" i="1"/>
  <c r="J5822" i="1"/>
  <c r="L5822" i="1"/>
  <c r="L5821" i="1"/>
  <c r="J5821" i="1"/>
  <c r="L5814" i="1"/>
  <c r="J5652" i="1"/>
  <c r="L5652" i="1"/>
  <c r="L5811" i="1"/>
  <c r="J5811" i="1"/>
  <c r="J5808" i="1"/>
  <c r="L5808" i="1"/>
  <c r="L5798" i="1"/>
  <c r="J5798" i="1"/>
  <c r="L5797" i="1"/>
  <c r="J5797" i="1"/>
  <c r="J5813" i="1"/>
  <c r="L5777" i="1"/>
  <c r="K5777" i="1"/>
  <c r="J5777" i="1"/>
  <c r="L5673" i="1"/>
  <c r="K5673" i="1"/>
  <c r="J5673" i="1"/>
  <c r="K5770" i="1"/>
  <c r="L5770" i="1"/>
  <c r="J5752" i="1"/>
  <c r="K5752" i="1"/>
  <c r="K5875" i="1"/>
  <c r="J5875" i="1"/>
  <c r="J5672" i="1"/>
  <c r="K5769" i="1"/>
  <c r="J5769" i="1"/>
  <c r="K5699" i="1"/>
  <c r="K5741" i="1"/>
  <c r="J5741" i="1"/>
  <c r="K5733" i="1"/>
  <c r="J5733" i="1"/>
  <c r="J5731" i="1"/>
  <c r="J5730" i="1"/>
  <c r="J5726" i="1"/>
  <c r="K5725" i="1"/>
  <c r="J5725" i="1"/>
  <c r="K5714" i="1"/>
  <c r="J5714" i="1"/>
  <c r="K5712" i="1"/>
  <c r="J5712" i="1"/>
  <c r="K5710" i="1"/>
  <c r="J5710" i="1"/>
  <c r="K5693" i="1"/>
  <c r="J5693" i="1"/>
  <c r="K5692" i="1"/>
  <c r="J5692" i="1"/>
  <c r="K5688" i="1"/>
  <c r="J5688" i="1"/>
  <c r="J5681" i="1"/>
  <c r="K5681" i="1"/>
  <c r="K5674" i="1"/>
  <c r="J5674" i="1"/>
  <c r="K5666" i="1"/>
  <c r="J5666" i="1"/>
  <c r="K5660" i="1"/>
  <c r="J5660" i="1"/>
  <c r="J5793" i="1"/>
  <c r="J5653" i="1"/>
  <c r="K5653" i="1"/>
  <c r="K5649" i="1"/>
  <c r="J5649" i="1"/>
  <c r="L5640" i="1"/>
  <c r="L5642" i="1"/>
  <c r="L5644" i="1"/>
  <c r="K5644" i="1"/>
  <c r="K5642" i="1"/>
  <c r="K5640" i="1"/>
  <c r="J5640" i="1"/>
  <c r="K5634" i="1"/>
  <c r="J5634" i="1"/>
  <c r="F5634" i="1"/>
  <c r="J5687" i="1"/>
  <c r="K5687" i="1"/>
  <c r="K5632" i="1"/>
  <c r="J5632" i="1"/>
  <c r="K5624" i="1"/>
  <c r="K5625" i="1"/>
  <c r="J5625" i="1"/>
  <c r="J5624" i="1"/>
  <c r="H4434" i="7" l="1"/>
  <c r="H4433" i="7"/>
  <c r="H3722" i="7"/>
  <c r="H4331" i="7"/>
  <c r="G4331" i="7"/>
  <c r="H4330" i="7"/>
  <c r="G4330" i="7"/>
  <c r="H4328" i="7"/>
  <c r="H4327" i="7"/>
  <c r="G4327" i="7"/>
  <c r="J5780" i="1"/>
  <c r="J5779" i="1"/>
  <c r="L5854" i="1"/>
  <c r="K5852" i="1"/>
  <c r="K5851" i="1"/>
  <c r="H4283" i="7"/>
  <c r="H4292" i="7"/>
  <c r="G4292" i="7"/>
  <c r="J5856" i="1"/>
  <c r="L5651" i="1"/>
  <c r="J5651" i="1"/>
  <c r="L5751" i="1"/>
  <c r="J5751" i="1"/>
  <c r="J5750" i="1"/>
  <c r="L5813" i="1"/>
  <c r="J5807" i="1"/>
  <c r="L5672" i="1"/>
  <c r="K5672" i="1"/>
  <c r="J5696" i="1"/>
  <c r="J5768" i="1"/>
  <c r="K5731" i="1"/>
  <c r="K5730" i="1"/>
  <c r="K5726" i="1"/>
  <c r="K5793" i="1"/>
  <c r="J5644" i="1"/>
  <c r="J5642" i="1"/>
  <c r="H4203" i="7" l="1"/>
  <c r="H4257" i="7"/>
  <c r="G4258" i="7"/>
  <c r="H4258" i="7"/>
  <c r="G4259" i="7"/>
  <c r="H4259" i="7"/>
  <c r="H4269" i="7"/>
  <c r="L5780" i="1"/>
  <c r="L5779" i="1"/>
  <c r="J5657" i="1"/>
  <c r="J5776" i="1"/>
  <c r="H4291" i="7"/>
  <c r="K5856" i="1"/>
  <c r="L5749" i="1"/>
  <c r="J5749" i="1"/>
  <c r="L5680" i="1"/>
  <c r="J5680" i="1"/>
  <c r="L5807" i="1"/>
  <c r="K5807" i="1"/>
  <c r="J5700" i="1"/>
  <c r="L5664" i="1"/>
  <c r="K5664" i="1"/>
  <c r="J5664" i="1"/>
  <c r="K5696" i="1"/>
  <c r="J5699" i="1"/>
  <c r="K5621" i="1"/>
  <c r="J5621" i="1"/>
  <c r="J5734" i="1"/>
  <c r="J5809" i="1"/>
  <c r="J5631" i="1"/>
  <c r="J5870" i="1"/>
  <c r="H3991" i="7" l="1"/>
  <c r="H3992" i="7"/>
  <c r="H3993" i="7"/>
  <c r="G3995" i="7"/>
  <c r="H3995" i="7"/>
  <c r="G4390" i="7" l="1"/>
  <c r="H4390" i="7"/>
  <c r="G4391" i="7"/>
  <c r="H4391" i="7"/>
  <c r="H4392" i="7"/>
  <c r="H4393" i="7"/>
  <c r="H4383" i="7"/>
  <c r="H4384" i="7"/>
  <c r="H4276" i="7"/>
  <c r="H4275" i="7"/>
  <c r="H4274" i="7"/>
  <c r="H4270" i="7"/>
  <c r="G4270" i="7"/>
  <c r="H4164" i="7"/>
  <c r="H4387" i="7"/>
  <c r="H4386" i="7"/>
  <c r="H4385" i="7"/>
  <c r="F5649" i="1"/>
  <c r="G4383" i="7" s="1"/>
  <c r="G5649" i="1"/>
  <c r="F5653" i="1"/>
  <c r="G4384" i="7" s="1"/>
  <c r="G5653" i="1"/>
  <c r="F5852" i="1"/>
  <c r="G5852" i="1"/>
  <c r="F5853" i="1"/>
  <c r="G4387" i="7" s="1"/>
  <c r="G5853" i="1"/>
  <c r="F5857" i="1"/>
  <c r="G5857" i="1"/>
  <c r="F5859" i="1"/>
  <c r="G5859" i="1"/>
  <c r="F5731" i="1"/>
  <c r="G4275" i="7" s="1"/>
  <c r="G5731" i="1"/>
  <c r="F5741" i="1"/>
  <c r="G4276" i="7" s="1"/>
  <c r="G5741" i="1"/>
  <c r="F5855" i="1"/>
  <c r="G5855" i="1"/>
  <c r="F5688" i="1"/>
  <c r="G5688" i="1"/>
  <c r="F5710" i="1"/>
  <c r="G5710" i="1"/>
  <c r="F5822" i="1"/>
  <c r="G5822" i="1"/>
  <c r="J5845" i="1"/>
  <c r="L5850" i="1"/>
  <c r="J5850" i="1"/>
  <c r="L5849" i="1"/>
  <c r="J5849" i="1"/>
  <c r="L5767" i="1"/>
  <c r="J5767" i="1"/>
  <c r="L5657" i="1"/>
  <c r="L5848" i="1"/>
  <c r="J5848" i="1"/>
  <c r="L5847" i="1"/>
  <c r="J5847" i="1"/>
  <c r="J5778" i="1"/>
  <c r="L5729" i="1"/>
  <c r="J5729" i="1"/>
  <c r="J5650" i="1"/>
  <c r="L5812" i="1"/>
  <c r="J5812" i="1"/>
  <c r="L5700" i="1"/>
  <c r="L5701" i="1"/>
  <c r="J5701" i="1"/>
  <c r="H4110" i="7"/>
  <c r="L5663" i="1"/>
  <c r="J5663" i="1"/>
  <c r="J5698" i="1"/>
  <c r="J5766" i="1"/>
  <c r="J5796" i="1"/>
  <c r="J5765" i="1"/>
  <c r="J5764" i="1"/>
  <c r="F5725" i="1"/>
  <c r="G5725" i="1"/>
  <c r="J5623" i="1"/>
  <c r="J5740" i="1"/>
  <c r="J5728" i="1"/>
  <c r="J5727" i="1"/>
  <c r="G4164" i="7" l="1"/>
  <c r="G4386" i="7"/>
  <c r="J5820" i="1"/>
  <c r="F4396" i="7" l="1"/>
  <c r="F4395" i="7"/>
  <c r="F4394" i="7"/>
  <c r="H4396" i="7"/>
  <c r="G4396" i="7"/>
  <c r="H4395" i="7"/>
  <c r="G4395" i="7"/>
  <c r="H4394" i="7"/>
  <c r="J5846" i="1"/>
  <c r="J5844" i="1"/>
  <c r="J5641" i="1"/>
  <c r="G3996" i="7" l="1"/>
  <c r="H3996" i="7"/>
  <c r="G3984" i="7"/>
  <c r="H3984" i="7"/>
  <c r="G3978" i="7"/>
  <c r="H3978" i="7"/>
  <c r="G3997" i="7"/>
  <c r="H3997" i="7"/>
  <c r="G3985" i="7"/>
  <c r="H3985" i="7"/>
  <c r="G3979" i="7"/>
  <c r="H3979" i="7"/>
  <c r="H4084" i="7"/>
  <c r="G4085" i="7"/>
  <c r="H4085" i="7"/>
  <c r="G4086" i="7"/>
  <c r="H4086" i="7"/>
  <c r="G4062" i="7"/>
  <c r="H4062" i="7"/>
  <c r="H3786" i="7"/>
  <c r="G3786" i="7"/>
  <c r="H3785" i="7"/>
  <c r="H4117" i="7" l="1"/>
  <c r="H4116" i="7"/>
  <c r="H4111" i="7"/>
  <c r="G4111" i="7"/>
  <c r="L5845" i="1"/>
  <c r="L5650" i="1"/>
  <c r="L5702" i="1"/>
  <c r="L5662" i="1"/>
  <c r="L5659" i="1" l="1"/>
  <c r="J5659" i="1"/>
  <c r="L5851" i="1"/>
  <c r="L5837" i="1"/>
  <c r="L5778" i="1"/>
  <c r="H4289" i="7"/>
  <c r="H4337" i="7"/>
  <c r="H4336" i="7"/>
  <c r="H4335" i="7"/>
  <c r="H4334" i="7"/>
  <c r="G4334" i="7"/>
  <c r="J5671" i="1"/>
  <c r="J5662" i="1"/>
  <c r="L5696" i="1"/>
  <c r="L5768" i="1"/>
  <c r="L5875" i="1"/>
  <c r="L5698" i="1"/>
  <c r="L5766" i="1"/>
  <c r="L5796" i="1"/>
  <c r="L5765" i="1"/>
  <c r="L5764" i="1"/>
  <c r="L5621" i="1"/>
  <c r="L5623" i="1"/>
  <c r="L5714" i="1"/>
  <c r="J5739" i="1"/>
  <c r="L5740" i="1"/>
  <c r="L5728" i="1"/>
  <c r="L5693" i="1"/>
  <c r="L5692" i="1"/>
  <c r="L5727" i="1"/>
  <c r="L5681" i="1"/>
  <c r="L5820" i="1"/>
  <c r="L5630" i="1"/>
  <c r="J5630" i="1"/>
  <c r="L5793" i="1"/>
  <c r="L5846" i="1"/>
  <c r="L5844" i="1"/>
  <c r="L5734" i="1"/>
  <c r="L5809" i="1"/>
  <c r="L5641" i="1"/>
  <c r="L5687" i="1"/>
  <c r="J5686" i="1"/>
  <c r="L5631" i="1"/>
  <c r="L5870" i="1"/>
  <c r="L5624" i="1"/>
  <c r="L5691" i="1"/>
  <c r="J5691" i="1"/>
  <c r="L5690" i="1"/>
  <c r="J5690" i="1"/>
  <c r="L5689" i="1"/>
  <c r="J5689" i="1"/>
  <c r="J5763" i="1"/>
  <c r="L5775" i="1"/>
  <c r="J5775" i="1"/>
  <c r="H3837" i="7"/>
  <c r="H3836" i="7"/>
  <c r="G3836" i="7"/>
  <c r="H3835" i="7"/>
  <c r="H3834" i="7"/>
  <c r="J5804" i="1"/>
  <c r="J5803" i="1"/>
  <c r="J5748" i="1"/>
  <c r="J5679" i="1"/>
  <c r="L5784" i="1"/>
  <c r="J5784" i="1"/>
  <c r="L5671" i="1"/>
  <c r="H4109" i="7"/>
  <c r="L5697" i="1"/>
  <c r="J5697" i="1"/>
  <c r="L5739" i="1"/>
  <c r="L5629" i="1"/>
  <c r="J5629" i="1"/>
  <c r="H4315" i="7"/>
  <c r="G4316" i="7"/>
  <c r="H4316" i="7"/>
  <c r="G4317" i="7"/>
  <c r="H4317" i="7"/>
  <c r="H4318" i="7"/>
  <c r="L5686" i="1"/>
  <c r="J5868" i="1"/>
  <c r="H4314" i="7"/>
  <c r="H3947" i="7"/>
  <c r="H3948" i="7"/>
  <c r="H3949" i="7"/>
  <c r="H3951" i="7"/>
  <c r="H4301" i="7"/>
  <c r="H4302" i="7"/>
  <c r="H4307" i="7"/>
  <c r="H4308" i="7"/>
  <c r="G5796" i="1"/>
  <c r="F5796" i="1"/>
  <c r="G4302" i="7" s="1"/>
  <c r="L5763" i="1"/>
  <c r="L5655" i="1"/>
  <c r="J5655" i="1"/>
  <c r="L5803" i="1"/>
  <c r="L5748" i="1"/>
  <c r="L5648" i="1" l="1"/>
  <c r="J5648" i="1"/>
  <c r="L5679" i="1"/>
  <c r="L5806" i="1"/>
  <c r="J5806" i="1"/>
  <c r="L5661" i="1"/>
  <c r="L5670" i="1"/>
  <c r="J5670" i="1"/>
  <c r="L5665" i="1"/>
  <c r="J5665" i="1"/>
  <c r="L5874" i="1"/>
  <c r="J5874" i="1"/>
  <c r="L5795" i="1"/>
  <c r="J5795" i="1"/>
  <c r="L5794" i="1"/>
  <c r="J5794" i="1"/>
  <c r="L5787" i="1"/>
  <c r="J5787" i="1"/>
  <c r="H4350" i="7" l="1"/>
  <c r="H4358" i="7"/>
  <c r="H4106" i="7"/>
  <c r="G4107" i="7"/>
  <c r="H4107" i="7"/>
  <c r="H4150" i="7"/>
  <c r="H4165" i="7"/>
  <c r="H1428" i="7"/>
  <c r="G1429" i="7"/>
  <c r="H1429" i="7"/>
  <c r="G1495" i="7"/>
  <c r="H1495" i="7"/>
  <c r="H1496" i="7"/>
  <c r="F5727" i="1"/>
  <c r="G5727" i="1"/>
  <c r="F5692" i="1"/>
  <c r="G4165" i="7" s="1"/>
  <c r="G5692" i="1"/>
  <c r="F5728" i="1"/>
  <c r="G5728" i="1"/>
  <c r="F5729" i="1"/>
  <c r="G5729" i="1"/>
  <c r="F5696" i="1"/>
  <c r="G4106" i="7" s="1"/>
  <c r="G5696" i="1"/>
  <c r="J5658" i="1"/>
  <c r="L5724" i="1"/>
  <c r="J5724" i="1"/>
  <c r="J5747" i="1"/>
  <c r="L5678" i="1"/>
  <c r="J5678" i="1"/>
  <c r="J5783" i="1"/>
  <c r="J5669" i="1"/>
  <c r="J5695" i="1"/>
  <c r="L5872" i="1"/>
  <c r="J5872" i="1"/>
  <c r="J5622" i="1"/>
  <c r="J5736" i="1"/>
  <c r="L5723" i="1"/>
  <c r="J5723" i="1"/>
  <c r="J5721" i="1"/>
  <c r="L5628" i="1"/>
  <c r="J5628" i="1"/>
  <c r="L5685" i="1"/>
  <c r="J5685" i="1"/>
  <c r="G4150" i="7" l="1"/>
  <c r="G1294" i="7"/>
  <c r="H1294" i="7"/>
  <c r="H1308" i="7"/>
  <c r="H1357" i="7"/>
  <c r="H1358" i="7"/>
  <c r="H4208" i="7"/>
  <c r="H4209" i="7"/>
  <c r="H4229" i="7"/>
  <c r="H4230" i="7"/>
  <c r="H4329" i="7"/>
  <c r="F5736" i="1"/>
  <c r="G5736" i="1"/>
  <c r="F5739" i="1"/>
  <c r="G4208" i="7" s="1"/>
  <c r="G5739" i="1"/>
  <c r="F5622" i="1"/>
  <c r="G5622" i="1"/>
  <c r="F5621" i="1"/>
  <c r="G5621" i="1"/>
  <c r="F5764" i="1"/>
  <c r="G5764" i="1"/>
  <c r="F5765" i="1"/>
  <c r="G4244" i="7" s="1"/>
  <c r="G5765" i="1"/>
  <c r="F5766" i="1"/>
  <c r="G4245" i="7" s="1"/>
  <c r="G5766" i="1"/>
  <c r="F5763" i="1"/>
  <c r="G4242" i="7" s="1"/>
  <c r="G5763" i="1"/>
  <c r="H4242" i="7"/>
  <c r="H4243" i="7"/>
  <c r="H4244" i="7"/>
  <c r="H4245" i="7"/>
  <c r="H4357" i="7"/>
  <c r="H4356" i="7"/>
  <c r="H4355" i="7"/>
  <c r="H4354" i="7"/>
  <c r="F5846" i="1"/>
  <c r="G5846" i="1"/>
  <c r="F5847" i="1"/>
  <c r="G5847" i="1"/>
  <c r="F5848" i="1"/>
  <c r="G4358" i="7" s="1"/>
  <c r="G5848" i="1"/>
  <c r="F5849" i="1"/>
  <c r="G5849" i="1"/>
  <c r="L5843" i="1"/>
  <c r="L5762" i="1"/>
  <c r="L5658" i="1"/>
  <c r="L5654" i="1"/>
  <c r="L5842" i="1"/>
  <c r="L5841" i="1"/>
  <c r="L5774" i="1"/>
  <c r="L5747" i="1"/>
  <c r="L5783" i="1"/>
  <c r="L5669" i="1"/>
  <c r="L5873" i="1"/>
  <c r="L5761" i="1"/>
  <c r="J5761" i="1"/>
  <c r="L5792" i="1"/>
  <c r="J5792" i="1"/>
  <c r="L5760" i="1"/>
  <c r="J5760" i="1"/>
  <c r="L5759" i="1"/>
  <c r="J5759" i="1"/>
  <c r="L5620" i="1"/>
  <c r="J5620" i="1"/>
  <c r="L5619" i="1"/>
  <c r="J5619" i="1"/>
  <c r="L5738" i="1"/>
  <c r="J5738" i="1"/>
  <c r="L5737" i="1"/>
  <c r="J5737" i="1"/>
  <c r="J5722" i="1"/>
  <c r="J5791" i="1"/>
  <c r="L5840" i="1"/>
  <c r="J5840" i="1"/>
  <c r="L5839" i="1"/>
  <c r="J5839" i="1"/>
  <c r="L5788" i="1"/>
  <c r="J5788" i="1"/>
  <c r="J5684" i="1"/>
  <c r="G4355" i="7" l="1"/>
  <c r="G1357" i="7"/>
  <c r="H4149" i="7"/>
  <c r="H4145" i="7"/>
  <c r="H4332" i="7"/>
  <c r="H4333" i="7"/>
  <c r="F5681" i="1"/>
  <c r="G4145" i="7" s="1"/>
  <c r="G5681" i="1"/>
  <c r="F5693" i="1"/>
  <c r="G4149" i="7" s="1"/>
  <c r="G5693" i="1"/>
  <c r="F5806" i="1"/>
  <c r="G5806" i="1"/>
  <c r="J5843" i="1"/>
  <c r="J5762" i="1"/>
  <c r="J5654" i="1"/>
  <c r="J5842" i="1"/>
  <c r="J5841" i="1"/>
  <c r="J5828" i="1"/>
  <c r="J5774" i="1"/>
  <c r="L5816" i="1"/>
  <c r="J5802" i="1"/>
  <c r="L5676" i="1"/>
  <c r="J5676" i="1"/>
  <c r="J5677" i="1"/>
  <c r="J5782" i="1"/>
  <c r="L5805" i="1"/>
  <c r="J5805" i="1"/>
  <c r="J5668" i="1"/>
  <c r="J5871" i="1"/>
  <c r="J5709" i="1"/>
  <c r="L5866" i="1"/>
  <c r="J5866" i="1"/>
  <c r="J5865" i="1"/>
  <c r="J5735" i="1"/>
  <c r="L5713" i="1"/>
  <c r="J5713" i="1"/>
  <c r="L5722" i="1"/>
  <c r="J5720" i="1"/>
  <c r="J5711" i="1"/>
  <c r="J5744" i="1"/>
  <c r="L5627" i="1"/>
  <c r="J5627" i="1"/>
  <c r="L5791" i="1"/>
  <c r="J5831" i="1"/>
  <c r="L5647" i="1"/>
  <c r="J5647" i="1"/>
  <c r="J5786" i="1"/>
  <c r="L5802" i="1" l="1"/>
  <c r="L5677" i="1"/>
  <c r="L5782" i="1"/>
  <c r="L5668" i="1"/>
  <c r="L5871" i="1"/>
  <c r="L5865" i="1"/>
  <c r="L5735" i="1"/>
  <c r="L5744" i="1"/>
  <c r="L5831" i="1"/>
  <c r="L5786" i="1"/>
  <c r="L5758" i="1"/>
  <c r="J5758" i="1"/>
  <c r="H4346" i="7"/>
  <c r="H4345" i="7"/>
  <c r="G4345" i="7"/>
  <c r="H4344" i="7"/>
  <c r="L5819" i="1"/>
  <c r="J5819" i="1"/>
  <c r="L5827" i="1"/>
  <c r="J5827" i="1"/>
  <c r="J5705" i="1"/>
  <c r="H4053" i="7" l="1"/>
  <c r="H4054" i="7"/>
  <c r="H4059" i="7"/>
  <c r="H4060" i="7"/>
  <c r="H4037" i="7"/>
  <c r="H4108" i="7"/>
  <c r="H4235" i="7"/>
  <c r="H4236" i="7"/>
  <c r="H4237" i="7"/>
  <c r="H4238" i="7"/>
  <c r="H4136" i="7"/>
  <c r="H4137" i="7"/>
  <c r="H3798" i="7"/>
  <c r="H3799" i="7"/>
  <c r="G4309" i="7"/>
  <c r="H4309" i="7"/>
  <c r="H4310" i="7"/>
  <c r="H4311" i="7"/>
  <c r="H4312" i="7"/>
  <c r="F5647" i="1"/>
  <c r="G5647" i="1"/>
  <c r="F5648" i="1"/>
  <c r="G5648" i="1"/>
  <c r="F5708" i="1"/>
  <c r="G5708" i="1"/>
  <c r="F5839" i="1"/>
  <c r="G4235" i="7" s="1"/>
  <c r="G5839" i="1"/>
  <c r="F5831" i="1"/>
  <c r="G5831" i="1"/>
  <c r="F5841" i="1"/>
  <c r="G5841" i="1"/>
  <c r="F5842" i="1"/>
  <c r="G5842" i="1"/>
  <c r="F5843" i="1"/>
  <c r="G5843" i="1"/>
  <c r="L5836" i="1"/>
  <c r="J5656" i="1"/>
  <c r="L5835" i="1"/>
  <c r="J5835" i="1"/>
  <c r="L5834" i="1"/>
  <c r="J5834" i="1"/>
  <c r="L5639" i="1"/>
  <c r="J5639" i="1"/>
  <c r="L5801" i="1"/>
  <c r="J5801" i="1"/>
  <c r="J5800" i="1"/>
  <c r="L5646" i="1"/>
  <c r="J5646" i="1"/>
  <c r="L5706" i="1"/>
  <c r="J5706" i="1"/>
  <c r="J5704" i="1"/>
  <c r="J5707" i="1"/>
  <c r="L5637" i="1"/>
  <c r="J5637" i="1"/>
  <c r="J5694" i="1"/>
  <c r="J5715" i="1"/>
  <c r="J5743" i="1"/>
  <c r="J5833" i="1"/>
  <c r="J5832" i="1"/>
  <c r="J5645" i="1"/>
  <c r="J5683" i="1"/>
  <c r="G3415" i="7"/>
  <c r="H3415" i="7"/>
  <c r="G3474" i="7"/>
  <c r="H3474" i="7"/>
  <c r="H3475" i="7"/>
  <c r="H3523" i="7"/>
  <c r="H4035" i="7"/>
  <c r="H3777" i="7"/>
  <c r="H3778" i="7"/>
  <c r="G3779" i="7"/>
  <c r="H3779" i="7"/>
  <c r="G3780" i="7"/>
  <c r="H3780" i="7"/>
  <c r="H4154" i="7"/>
  <c r="H4155" i="7"/>
  <c r="H4156" i="7"/>
  <c r="H4159" i="7"/>
  <c r="H4375" i="7"/>
  <c r="H4372" i="7"/>
  <c r="F5720" i="1"/>
  <c r="G5720" i="1"/>
  <c r="F5722" i="1"/>
  <c r="G5722" i="1"/>
  <c r="F5715" i="1"/>
  <c r="G5715" i="1"/>
  <c r="F5724" i="1"/>
  <c r="G5724" i="1"/>
  <c r="F5791" i="1"/>
  <c r="G4156" i="7" s="1"/>
  <c r="G5791" i="1"/>
  <c r="F5792" i="1"/>
  <c r="G4159" i="7" s="1"/>
  <c r="G5792" i="1"/>
  <c r="F5641" i="1"/>
  <c r="G3777" i="7" s="1"/>
  <c r="G5641" i="1"/>
  <c r="F5759" i="1"/>
  <c r="G4054" i="7" s="1"/>
  <c r="G5759" i="1"/>
  <c r="F5760" i="1"/>
  <c r="G4059" i="7" s="1"/>
  <c r="G5760" i="1"/>
  <c r="F5761" i="1"/>
  <c r="G5761" i="1"/>
  <c r="F5762" i="1"/>
  <c r="G4053" i="7" s="1"/>
  <c r="G5762" i="1"/>
  <c r="F5758" i="1"/>
  <c r="G5758" i="1"/>
  <c r="F5624" i="1"/>
  <c r="G5624" i="1"/>
  <c r="F5827" i="1"/>
  <c r="G5827" i="1"/>
  <c r="F5828" i="1"/>
  <c r="G5828" i="1"/>
  <c r="F5819" i="1"/>
  <c r="G5819" i="1"/>
  <c r="F5684" i="1"/>
  <c r="F5685" i="1"/>
  <c r="F5744" i="1"/>
  <c r="F5723" i="1"/>
  <c r="F5697" i="1"/>
  <c r="G4108" i="7" s="1"/>
  <c r="F5705" i="1"/>
  <c r="F5801" i="1"/>
  <c r="F5639" i="1"/>
  <c r="F5654" i="1"/>
  <c r="F5802" i="1"/>
  <c r="G4311" i="7" s="1"/>
  <c r="F5871" i="1"/>
  <c r="G4427" i="7" s="1"/>
  <c r="F5665" i="1"/>
  <c r="F5668" i="1"/>
  <c r="G3998" i="7" s="1"/>
  <c r="F5815" i="1"/>
  <c r="G4344" i="7" s="1"/>
  <c r="F5816" i="1"/>
  <c r="G4346" i="7" s="1"/>
  <c r="F5689" i="1"/>
  <c r="F5788" i="1"/>
  <c r="G4300" i="7" s="1"/>
  <c r="F5734" i="1"/>
  <c r="F5840" i="1"/>
  <c r="F5628" i="1"/>
  <c r="F5738" i="1"/>
  <c r="F5619" i="1"/>
  <c r="F5620" i="1"/>
  <c r="F5709" i="1"/>
  <c r="F5873" i="1"/>
  <c r="G4425" i="7" s="1"/>
  <c r="F5669" i="1"/>
  <c r="G3999" i="7" s="1"/>
  <c r="F5783" i="1"/>
  <c r="F5676" i="1"/>
  <c r="F5803" i="1"/>
  <c r="G4312" i="7" s="1"/>
  <c r="F5821" i="1"/>
  <c r="F5823" i="1"/>
  <c r="F5678" i="1"/>
  <c r="F5787" i="1"/>
  <c r="F5794" i="1"/>
  <c r="G4154" i="7" s="1"/>
  <c r="F5721" i="1"/>
  <c r="F5795" i="1"/>
  <c r="G4155" i="7" s="1"/>
  <c r="F5872" i="1"/>
  <c r="G4426" i="7" s="1"/>
  <c r="F5658" i="1"/>
  <c r="F5844" i="1"/>
  <c r="G4354" i="7" s="1"/>
  <c r="F5631" i="1"/>
  <c r="F5686" i="1"/>
  <c r="F5740" i="1"/>
  <c r="G4229" i="7" s="1"/>
  <c r="F5623" i="1"/>
  <c r="G1358" i="7" s="1"/>
  <c r="F5874" i="1"/>
  <c r="F5670" i="1"/>
  <c r="G4000" i="7" s="1"/>
  <c r="F5784" i="1"/>
  <c r="F5748" i="1"/>
  <c r="F5775" i="1"/>
  <c r="F5837" i="1"/>
  <c r="F5655" i="1"/>
  <c r="F5629" i="1"/>
  <c r="G1496" i="7" s="1"/>
  <c r="F5661" i="1"/>
  <c r="F5807" i="1"/>
  <c r="G4314" i="7" s="1"/>
  <c r="F5679" i="1"/>
  <c r="F5808" i="1"/>
  <c r="G3798" i="7" s="1"/>
  <c r="F5793" i="1"/>
  <c r="G4301" i="7" s="1"/>
  <c r="F5659" i="1"/>
  <c r="G3948" i="7" s="1"/>
  <c r="F5870" i="1"/>
  <c r="F5809" i="1"/>
  <c r="G4315" i="7" s="1"/>
  <c r="F5875" i="1"/>
  <c r="F5698" i="1"/>
  <c r="G4109" i="7" s="1"/>
  <c r="F5768" i="1"/>
  <c r="G4137" i="7" s="1"/>
  <c r="F5662" i="1"/>
  <c r="G3983" i="7" s="1"/>
  <c r="F5671" i="1"/>
  <c r="F5680" i="1"/>
  <c r="F5749" i="1"/>
  <c r="F5804" i="1"/>
  <c r="G4310" i="7" s="1"/>
  <c r="F5650" i="1"/>
  <c r="G3837" i="7" s="1"/>
  <c r="F5767" i="1"/>
  <c r="G4243" i="7" s="1"/>
  <c r="F5687" i="1"/>
  <c r="F5630" i="1"/>
  <c r="G1428" i="7" s="1"/>
  <c r="F5714" i="1"/>
  <c r="G4230" i="7" s="1"/>
  <c r="F5812" i="1"/>
  <c r="G4335" i="7" s="1"/>
  <c r="F5778" i="1"/>
  <c r="G4289" i="7" s="1"/>
  <c r="F5657" i="1"/>
  <c r="G3947" i="7" s="1"/>
  <c r="F5850" i="1"/>
  <c r="F5779" i="1"/>
  <c r="F5845" i="1"/>
  <c r="G4357" i="7" s="1"/>
  <c r="F5663" i="1"/>
  <c r="F5702" i="1"/>
  <c r="F5701" i="1"/>
  <c r="G4117" i="7" s="1"/>
  <c r="F5640" i="1"/>
  <c r="G3778" i="7" s="1"/>
  <c r="F5666" i="1"/>
  <c r="G4394" i="7" s="1"/>
  <c r="F5667" i="1"/>
  <c r="F5674" i="1"/>
  <c r="G3785" i="7" s="1"/>
  <c r="F5712" i="1"/>
  <c r="G4209" i="7" s="1"/>
  <c r="F5733" i="1"/>
  <c r="G4307" i="7" s="1"/>
  <c r="F5699" i="1"/>
  <c r="G4110" i="7" s="1"/>
  <c r="F5664" i="1"/>
  <c r="G3982" i="7" s="1"/>
  <c r="F5700" i="1"/>
  <c r="F5813" i="1"/>
  <c r="G4336" i="7" s="1"/>
  <c r="F5651" i="1"/>
  <c r="G3834" i="7" s="1"/>
  <c r="F5780" i="1"/>
  <c r="F5856" i="1"/>
  <c r="G4392" i="7" s="1"/>
  <c r="F5730" i="1"/>
  <c r="G4274" i="7" s="1"/>
  <c r="F5625" i="1"/>
  <c r="F5632" i="1"/>
  <c r="F5642" i="1"/>
  <c r="G4318" i="7" s="1"/>
  <c r="F5644" i="1"/>
  <c r="G4203" i="7" s="1"/>
  <c r="F5726" i="1"/>
  <c r="G1308" i="7" s="1"/>
  <c r="F5673" i="1"/>
  <c r="G3991" i="7" s="1"/>
  <c r="F5776" i="1"/>
  <c r="G4291" i="7" s="1"/>
  <c r="F5854" i="1"/>
  <c r="G3951" i="7" s="1"/>
  <c r="F5750" i="1"/>
  <c r="F5769" i="1"/>
  <c r="F5672" i="1"/>
  <c r="G3993" i="7" s="1"/>
  <c r="F5777" i="1"/>
  <c r="G3992" i="7" s="1"/>
  <c r="F5798" i="1"/>
  <c r="F5751" i="1"/>
  <c r="F5652" i="1"/>
  <c r="G3835" i="7" s="1"/>
  <c r="F5829" i="1"/>
  <c r="G4393" i="7" s="1"/>
  <c r="F5830" i="1"/>
  <c r="G4283" i="7" s="1"/>
  <c r="F5869" i="1"/>
  <c r="G3722" i="7" s="1"/>
  <c r="F5877" i="1"/>
  <c r="G4328" i="7" s="1"/>
  <c r="F5811" i="1"/>
  <c r="F5660" i="1"/>
  <c r="G4308" i="7" s="1"/>
  <c r="F5770" i="1"/>
  <c r="F5752" i="1"/>
  <c r="F5797" i="1"/>
  <c r="G4337" i="7" s="1"/>
  <c r="F5771" i="1"/>
  <c r="F5742" i="1"/>
  <c r="F5878" i="1"/>
  <c r="G3523" i="7" s="1"/>
  <c r="F5879" i="1"/>
  <c r="G3949" i="7" s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84" i="1"/>
  <c r="G5685" i="1"/>
  <c r="G5744" i="1"/>
  <c r="G5723" i="1"/>
  <c r="G5697" i="1"/>
  <c r="G5705" i="1"/>
  <c r="G5801" i="1"/>
  <c r="G5639" i="1"/>
  <c r="G5654" i="1"/>
  <c r="G5802" i="1"/>
  <c r="G5871" i="1"/>
  <c r="G5665" i="1"/>
  <c r="G5668" i="1"/>
  <c r="G5815" i="1"/>
  <c r="G5816" i="1"/>
  <c r="G5689" i="1"/>
  <c r="G5788" i="1"/>
  <c r="G5734" i="1"/>
  <c r="G5840" i="1"/>
  <c r="G5628" i="1"/>
  <c r="G5738" i="1"/>
  <c r="G5619" i="1"/>
  <c r="G5620" i="1"/>
  <c r="G5709" i="1"/>
  <c r="G5873" i="1"/>
  <c r="G5669" i="1"/>
  <c r="G5783" i="1"/>
  <c r="G5676" i="1"/>
  <c r="G5803" i="1"/>
  <c r="G5821" i="1"/>
  <c r="G5823" i="1"/>
  <c r="G5678" i="1"/>
  <c r="G5787" i="1"/>
  <c r="G5794" i="1"/>
  <c r="G5721" i="1"/>
  <c r="G5795" i="1"/>
  <c r="G5872" i="1"/>
  <c r="G5658" i="1"/>
  <c r="G5844" i="1"/>
  <c r="G5631" i="1"/>
  <c r="G5686" i="1"/>
  <c r="G5740" i="1"/>
  <c r="G5623" i="1"/>
  <c r="G5874" i="1"/>
  <c r="G5670" i="1"/>
  <c r="G5784" i="1"/>
  <c r="G5748" i="1"/>
  <c r="G5775" i="1"/>
  <c r="G5837" i="1"/>
  <c r="G5655" i="1"/>
  <c r="G5629" i="1"/>
  <c r="G5661" i="1"/>
  <c r="G5807" i="1"/>
  <c r="G5679" i="1"/>
  <c r="G5808" i="1"/>
  <c r="G5793" i="1"/>
  <c r="G5659" i="1"/>
  <c r="G5870" i="1"/>
  <c r="G5809" i="1"/>
  <c r="G5875" i="1"/>
  <c r="G5698" i="1"/>
  <c r="G5768" i="1"/>
  <c r="G5662" i="1"/>
  <c r="G5671" i="1"/>
  <c r="G5680" i="1"/>
  <c r="G5749" i="1"/>
  <c r="G5804" i="1"/>
  <c r="G5650" i="1"/>
  <c r="G5767" i="1"/>
  <c r="G5687" i="1"/>
  <c r="G5630" i="1"/>
  <c r="G5714" i="1"/>
  <c r="G5812" i="1"/>
  <c r="G5778" i="1"/>
  <c r="G5657" i="1"/>
  <c r="G5850" i="1"/>
  <c r="G5779" i="1"/>
  <c r="G5845" i="1"/>
  <c r="G5663" i="1"/>
  <c r="G5702" i="1"/>
  <c r="G5701" i="1"/>
  <c r="G5640" i="1"/>
  <c r="G5666" i="1"/>
  <c r="G5667" i="1"/>
  <c r="G5674" i="1"/>
  <c r="G5712" i="1"/>
  <c r="G5733" i="1"/>
  <c r="G5699" i="1"/>
  <c r="G5664" i="1"/>
  <c r="G5700" i="1"/>
  <c r="G5813" i="1"/>
  <c r="G5651" i="1"/>
  <c r="G5780" i="1"/>
  <c r="G5856" i="1"/>
  <c r="G5730" i="1"/>
  <c r="G5625" i="1"/>
  <c r="G5632" i="1"/>
  <c r="G5642" i="1"/>
  <c r="G5644" i="1"/>
  <c r="G5726" i="1"/>
  <c r="G5673" i="1"/>
  <c r="G5776" i="1"/>
  <c r="G5854" i="1"/>
  <c r="G5750" i="1"/>
  <c r="G5769" i="1"/>
  <c r="G5672" i="1"/>
  <c r="G5777" i="1"/>
  <c r="G5798" i="1"/>
  <c r="G5751" i="1"/>
  <c r="G5652" i="1"/>
  <c r="G5829" i="1"/>
  <c r="G5830" i="1"/>
  <c r="G5869" i="1"/>
  <c r="G5877" i="1"/>
  <c r="G5811" i="1"/>
  <c r="G5634" i="1"/>
  <c r="G5660" i="1"/>
  <c r="G5770" i="1"/>
  <c r="G5752" i="1"/>
  <c r="G5797" i="1"/>
  <c r="G5814" i="1"/>
  <c r="G5771" i="1"/>
  <c r="G5742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876" i="1"/>
  <c r="L5757" i="1"/>
  <c r="J5757" i="1"/>
  <c r="J5836" i="1"/>
  <c r="L5756" i="1"/>
  <c r="J5756" i="1"/>
  <c r="L5656" i="1"/>
  <c r="J5633" i="1"/>
  <c r="J5826" i="1"/>
  <c r="L5817" i="1"/>
  <c r="J5817" i="1"/>
  <c r="H4369" i="7"/>
  <c r="J5638" i="1"/>
  <c r="L5818" i="1"/>
  <c r="J5818" i="1"/>
  <c r="L5719" i="1"/>
  <c r="J5719" i="1"/>
  <c r="L5825" i="1"/>
  <c r="J5825" i="1"/>
  <c r="L5800" i="1"/>
  <c r="J5746" i="1"/>
  <c r="J5675" i="1"/>
  <c r="J5781" i="1"/>
  <c r="L5707" i="1"/>
  <c r="M5790" i="1"/>
  <c r="J5755" i="1"/>
  <c r="J5790" i="1"/>
  <c r="J5754" i="1"/>
  <c r="J5753" i="1"/>
  <c r="N5865" i="1"/>
  <c r="M5865" i="1"/>
  <c r="M5735" i="1"/>
  <c r="M5861" i="1"/>
  <c r="J5861" i="1"/>
  <c r="J5718" i="1"/>
  <c r="M5713" i="1"/>
  <c r="J5717" i="1"/>
  <c r="J5716" i="1"/>
  <c r="M5743" i="1"/>
  <c r="J5626" i="1"/>
  <c r="J5789" i="1"/>
  <c r="M5833" i="1"/>
  <c r="M5645" i="1"/>
  <c r="M5643" i="1"/>
  <c r="N5786" i="1"/>
  <c r="J5785" i="1"/>
  <c r="J5643" i="1"/>
  <c r="J5682" i="1"/>
  <c r="J5867" i="1"/>
  <c r="J5824" i="1"/>
  <c r="L5876" i="1"/>
  <c r="J5773" i="1"/>
  <c r="J5636" i="1"/>
  <c r="L5746" i="1"/>
  <c r="L5675" i="1"/>
  <c r="L5781" i="1"/>
  <c r="J5635" i="1"/>
  <c r="J5772" i="1"/>
  <c r="L5790" i="1"/>
  <c r="L5754" i="1"/>
  <c r="L5753" i="1"/>
  <c r="L5861" i="1"/>
  <c r="L5717" i="1"/>
  <c r="L5711" i="1"/>
  <c r="L5810" i="1"/>
  <c r="L5704" i="1"/>
  <c r="J5862" i="1"/>
  <c r="H4285" i="7"/>
  <c r="G3990" i="7"/>
  <c r="H3990" i="7"/>
  <c r="G3980" i="7"/>
  <c r="H3980" i="7"/>
  <c r="H3982" i="7"/>
  <c r="H3983" i="7"/>
  <c r="H3998" i="7"/>
  <c r="H3999" i="7"/>
  <c r="H4000" i="7"/>
  <c r="G4003" i="7"/>
  <c r="H4003" i="7"/>
  <c r="L5633" i="1"/>
  <c r="L5826" i="1"/>
  <c r="L5772" i="1"/>
  <c r="L5636" i="1"/>
  <c r="L5695" i="1"/>
  <c r="L5635" i="1"/>
  <c r="J5860" i="1"/>
  <c r="L5755" i="1"/>
  <c r="J5864" i="1"/>
  <c r="L5862" i="1"/>
  <c r="L5718" i="1"/>
  <c r="L5716" i="1"/>
  <c r="L5867" i="1"/>
  <c r="L5743" i="1"/>
  <c r="L5626" i="1"/>
  <c r="L5833" i="1"/>
  <c r="L5832" i="1"/>
  <c r="L5645" i="1"/>
  <c r="L5785" i="1"/>
  <c r="L5643" i="1"/>
  <c r="L5683" i="1"/>
  <c r="L5682" i="1"/>
  <c r="J5745" i="1"/>
  <c r="L5824" i="1"/>
  <c r="J5799" i="1"/>
  <c r="L5860" i="1"/>
  <c r="J5703" i="1"/>
  <c r="L5863" i="1"/>
  <c r="M5718" i="1"/>
  <c r="M5789" i="1"/>
  <c r="M5832" i="1"/>
  <c r="N5643" i="1"/>
  <c r="J5732" i="1"/>
  <c r="L5745" i="1"/>
  <c r="G3656" i="7"/>
  <c r="H3656" i="7"/>
  <c r="H3657" i="7"/>
  <c r="H3675" i="7"/>
  <c r="G3695" i="7"/>
  <c r="H3695" i="7"/>
  <c r="H4297" i="7"/>
  <c r="H4298" i="7"/>
  <c r="G4299" i="7"/>
  <c r="H4299" i="7"/>
  <c r="H4300" i="7"/>
  <c r="H4033" i="7"/>
  <c r="H4273" i="7"/>
  <c r="H4272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1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G5600" i="1" s="1"/>
  <c r="L5600" i="1"/>
  <c r="J5600" i="1"/>
  <c r="L5611" i="1"/>
  <c r="L5570" i="1"/>
  <c r="J5570" i="1"/>
  <c r="L5610" i="1"/>
  <c r="J5610" i="1"/>
  <c r="J5568" i="1"/>
  <c r="F5568" i="1" s="1"/>
  <c r="L5599" i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F5598" i="1" s="1"/>
  <c r="L5550" i="1"/>
  <c r="J5550" i="1"/>
  <c r="L5597" i="1"/>
  <c r="J5597" i="1"/>
  <c r="F5597" i="1" s="1"/>
  <c r="L5596" i="1"/>
  <c r="J5596" i="1"/>
  <c r="L5497" i="1"/>
  <c r="J5497" i="1"/>
  <c r="L5592" i="1"/>
  <c r="J5592" i="1"/>
  <c r="L5586" i="1"/>
  <c r="J5586" i="1"/>
  <c r="L5585" i="1"/>
  <c r="J5585" i="1"/>
  <c r="M5590" i="1"/>
  <c r="G5590" i="1" s="1"/>
  <c r="L5590" i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02" i="7"/>
  <c r="G4202" i="7"/>
  <c r="H4169" i="7"/>
  <c r="H4268" i="7"/>
  <c r="H4267" i="7"/>
  <c r="H4266" i="7"/>
  <c r="H4265" i="7"/>
  <c r="H4264" i="7"/>
  <c r="H4263" i="7"/>
  <c r="H4262" i="7"/>
  <c r="H4261" i="7"/>
  <c r="H4260" i="7"/>
  <c r="H4430" i="7"/>
  <c r="H4431" i="7"/>
  <c r="H4432" i="7"/>
  <c r="H4435" i="7"/>
  <c r="H4254" i="7"/>
  <c r="H4255" i="7"/>
  <c r="H4125" i="7"/>
  <c r="H4127" i="7"/>
  <c r="G4130" i="7"/>
  <c r="H4130" i="7"/>
  <c r="H4135" i="7"/>
  <c r="G5596" i="1"/>
  <c r="G5597" i="1"/>
  <c r="G5591" i="1"/>
  <c r="G5601" i="1"/>
  <c r="G5602" i="1"/>
  <c r="G5592" i="1"/>
  <c r="G5599" i="1"/>
  <c r="G5605" i="1"/>
  <c r="G5607" i="1"/>
  <c r="G5568" i="1"/>
  <c r="G5603" i="1"/>
  <c r="G5604" i="1"/>
  <c r="G5606" i="1"/>
  <c r="L5518" i="1"/>
  <c r="L5558" i="1"/>
  <c r="L5583" i="1"/>
  <c r="L5557" i="1"/>
  <c r="L5582" i="1"/>
  <c r="L5581" i="1"/>
  <c r="J5595" i="1"/>
  <c r="J5566" i="1"/>
  <c r="L5593" i="1"/>
  <c r="L5547" i="1"/>
  <c r="F5547" i="1" s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3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8" i="7"/>
  <c r="H4189" i="7"/>
  <c r="H4313" i="7"/>
  <c r="H3899" i="7"/>
  <c r="H3900" i="7"/>
  <c r="G3901" i="7"/>
  <c r="H3901" i="7"/>
  <c r="G3902" i="7"/>
  <c r="H3902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4012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F5453" i="1" s="1"/>
  <c r="J5519" i="1"/>
  <c r="J5433" i="1"/>
  <c r="J5430" i="1"/>
  <c r="J5319" i="1"/>
  <c r="H4001" i="7"/>
  <c r="H4002" i="7"/>
  <c r="H3994" i="7"/>
  <c r="H4008" i="7"/>
  <c r="H4009" i="7"/>
  <c r="H4010" i="7"/>
  <c r="G4011" i="7"/>
  <c r="H4011" i="7"/>
  <c r="H4192" i="7"/>
  <c r="H4193" i="7"/>
  <c r="H4194" i="7"/>
  <c r="H4195" i="7"/>
  <c r="H4373" i="7"/>
  <c r="H4376" i="7"/>
  <c r="G5541" i="1"/>
  <c r="G5542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F5510" i="1" s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611" i="7"/>
  <c r="H4371" i="7"/>
  <c r="H4370" i="7"/>
  <c r="L5512" i="1"/>
  <c r="L5507" i="1"/>
  <c r="J5493" i="1"/>
  <c r="J5508" i="1"/>
  <c r="J5494" i="1"/>
  <c r="L5489" i="1"/>
  <c r="J5469" i="1"/>
  <c r="L5487" i="1"/>
  <c r="L5463" i="1"/>
  <c r="L5461" i="1"/>
  <c r="H4429" i="7"/>
  <c r="G4429" i="7"/>
  <c r="H4428" i="7"/>
  <c r="G4428" i="7"/>
  <c r="H4427" i="7"/>
  <c r="H4426" i="7"/>
  <c r="H4425" i="7"/>
  <c r="H4424" i="7"/>
  <c r="G4424" i="7"/>
  <c r="H4423" i="7"/>
  <c r="G4423" i="7"/>
  <c r="F4423" i="7"/>
  <c r="H4422" i="7"/>
  <c r="F4422" i="7"/>
  <c r="H4421" i="7"/>
  <c r="F4421" i="7"/>
  <c r="H4420" i="7"/>
  <c r="G4420" i="7"/>
  <c r="F4420" i="7"/>
  <c r="H4419" i="7"/>
  <c r="H4418" i="7"/>
  <c r="F4418" i="7"/>
  <c r="H4417" i="7"/>
  <c r="F4417" i="7"/>
  <c r="H4416" i="7"/>
  <c r="F4416" i="7"/>
  <c r="H4415" i="7"/>
  <c r="F4415" i="7"/>
  <c r="H4414" i="7"/>
  <c r="H4413" i="7"/>
  <c r="F4413" i="7"/>
  <c r="H4412" i="7"/>
  <c r="F4412" i="7"/>
  <c r="H4411" i="7"/>
  <c r="F4411" i="7"/>
  <c r="H4410" i="7"/>
  <c r="F4410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168" i="7"/>
  <c r="J5382" i="1"/>
  <c r="H4191" i="7"/>
  <c r="H4190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G5460" i="1" s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231" i="7"/>
  <c r="H4232" i="7"/>
  <c r="G4233" i="7"/>
  <c r="H4233" i="7"/>
  <c r="G4246" i="7"/>
  <c r="H4246" i="7"/>
  <c r="H4142" i="7"/>
  <c r="H4141" i="7"/>
  <c r="H4140" i="7"/>
  <c r="H4139" i="7"/>
  <c r="G5508" i="1"/>
  <c r="G5509" i="1"/>
  <c r="G548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374" i="7"/>
  <c r="H4377" i="7"/>
  <c r="H3964" i="7"/>
  <c r="H1380" i="7"/>
  <c r="H1381" i="7"/>
  <c r="H1426" i="7"/>
  <c r="H1427" i="7"/>
  <c r="H3737" i="7"/>
  <c r="H3738" i="7"/>
  <c r="H3764" i="7"/>
  <c r="H3765" i="7"/>
  <c r="H4158" i="7"/>
  <c r="H4157" i="7"/>
  <c r="F5503" i="1"/>
  <c r="G5503" i="1"/>
  <c r="G5456" i="1"/>
  <c r="G5467" i="1"/>
  <c r="G5453" i="1"/>
  <c r="F5319" i="1"/>
  <c r="G5319" i="1"/>
  <c r="H4088" i="7"/>
  <c r="G4088" i="7"/>
  <c r="H4087" i="7"/>
  <c r="G4087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4121" i="7"/>
  <c r="H4119" i="7"/>
  <c r="G4119" i="7"/>
  <c r="H4288" i="7"/>
  <c r="H4118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603" i="7"/>
  <c r="H3602" i="7"/>
  <c r="H3594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90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791" i="7"/>
  <c r="H3790" i="7"/>
  <c r="L5383" i="1"/>
  <c r="J5374" i="1"/>
  <c r="L5442" i="1"/>
  <c r="L5369" i="1"/>
  <c r="J5369" i="1"/>
  <c r="L5373" i="1"/>
  <c r="L5441" i="1"/>
  <c r="L5334" i="1"/>
  <c r="L5072" i="1"/>
  <c r="H4128" i="7"/>
  <c r="H4129" i="7"/>
  <c r="H3723" i="7"/>
  <c r="H4131" i="7"/>
  <c r="H4132" i="7"/>
  <c r="G4133" i="7"/>
  <c r="H4133" i="7"/>
  <c r="H4134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G5446" i="1" s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4162" i="7"/>
  <c r="H4404" i="7"/>
  <c r="H4403" i="7"/>
  <c r="H4402" i="7"/>
  <c r="H4401" i="7"/>
  <c r="F4404" i="7"/>
  <c r="F4403" i="7"/>
  <c r="F4402" i="7"/>
  <c r="F4401" i="7"/>
  <c r="H4058" i="7"/>
  <c r="H4057" i="7"/>
  <c r="H4056" i="7"/>
  <c r="H4055" i="7"/>
  <c r="H4120" i="7"/>
  <c r="H4241" i="7"/>
  <c r="H4240" i="7"/>
  <c r="H4239" i="7"/>
  <c r="H4234" i="7"/>
  <c r="G4234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724" i="7"/>
  <c r="H3724" i="7"/>
  <c r="G3725" i="7"/>
  <c r="H3725" i="7"/>
  <c r="G3726" i="7"/>
  <c r="H3726" i="7"/>
  <c r="H3732" i="7"/>
  <c r="F5459" i="1"/>
  <c r="G5459" i="1"/>
  <c r="G5407" i="1"/>
  <c r="G5411" i="1"/>
  <c r="G5401" i="1"/>
  <c r="G5475" i="1"/>
  <c r="G5476" i="1"/>
  <c r="G5477" i="1"/>
  <c r="F5488" i="1"/>
  <c r="G4114" i="7" s="1"/>
  <c r="G5488" i="1"/>
  <c r="G5431" i="1"/>
  <c r="G5474" i="1"/>
  <c r="G5280" i="1"/>
  <c r="G5444" i="1"/>
  <c r="F5331" i="1"/>
  <c r="G3732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811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348" i="7"/>
  <c r="L5297" i="1"/>
  <c r="O5428" i="1"/>
  <c r="O5365" i="1"/>
  <c r="M5365" i="1"/>
  <c r="J5354" i="1"/>
  <c r="J5372" i="1"/>
  <c r="P5356" i="1"/>
  <c r="O5356" i="1"/>
  <c r="G4084" i="7" l="1"/>
  <c r="F5444" i="1"/>
  <c r="F5582" i="1"/>
  <c r="G4269" i="7"/>
  <c r="G4434" i="7"/>
  <c r="G4257" i="7"/>
  <c r="G4433" i="7"/>
  <c r="F5474" i="1"/>
  <c r="F5475" i="1"/>
  <c r="F5504" i="1"/>
  <c r="F5542" i="1"/>
  <c r="F5526" i="1"/>
  <c r="F5590" i="1"/>
  <c r="F5592" i="1"/>
  <c r="F5596" i="1"/>
  <c r="F5550" i="1"/>
  <c r="F5599" i="1"/>
  <c r="F5570" i="1"/>
  <c r="F5600" i="1"/>
  <c r="F5476" i="1"/>
  <c r="F5602" i="1"/>
  <c r="F5604" i="1"/>
  <c r="F5605" i="1"/>
  <c r="F5607" i="1"/>
  <c r="G4116" i="7"/>
  <c r="F5411" i="1"/>
  <c r="F5460" i="1"/>
  <c r="F5467" i="1"/>
  <c r="F5509" i="1"/>
  <c r="F5508" i="1"/>
  <c r="F5560" i="1"/>
  <c r="F5587" i="1"/>
  <c r="G3709" i="7" s="1"/>
  <c r="F5546" i="1"/>
  <c r="F5555" i="1"/>
  <c r="F5583" i="1"/>
  <c r="F5541" i="1"/>
  <c r="F5557" i="1"/>
  <c r="G4048" i="7" s="1"/>
  <c r="F5415" i="1"/>
  <c r="G1380" i="7" s="1"/>
  <c r="G4377" i="7"/>
  <c r="G4010" i="7"/>
  <c r="F5554" i="1"/>
  <c r="F5558" i="1"/>
  <c r="F5584" i="1"/>
  <c r="G4329" i="7"/>
  <c r="F5407" i="1"/>
  <c r="F5456" i="1"/>
  <c r="F5463" i="1"/>
  <c r="F5530" i="1"/>
  <c r="F5603" i="1"/>
  <c r="F5606" i="1"/>
  <c r="G4136" i="7"/>
  <c r="G4236" i="7"/>
  <c r="F5552" i="1"/>
  <c r="G4376" i="7" s="1"/>
  <c r="F5410" i="1"/>
  <c r="F5464" i="1"/>
  <c r="F5551" i="1"/>
  <c r="G4238" i="7"/>
  <c r="G3799" i="7"/>
  <c r="G4035" i="7"/>
  <c r="G4060" i="7"/>
  <c r="G4037" i="7"/>
  <c r="F5477" i="1"/>
  <c r="F5077" i="1"/>
  <c r="G3591" i="7" s="1"/>
  <c r="F5473" i="1"/>
  <c r="G3900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89" i="7" s="1"/>
  <c r="F5481" i="1"/>
  <c r="G3899" i="7" s="1"/>
  <c r="G4097" i="7"/>
  <c r="F5408" i="1"/>
  <c r="G5556" i="1"/>
  <c r="G4049" i="7"/>
  <c r="G5408" i="1"/>
  <c r="G4374" i="7"/>
  <c r="G4193" i="7"/>
  <c r="G3994" i="7"/>
  <c r="G4190" i="7"/>
  <c r="G4141" i="7"/>
  <c r="F5422" i="1"/>
  <c r="F5385" i="1"/>
  <c r="G3811" i="7" s="1"/>
  <c r="H4095" i="7"/>
  <c r="J5325" i="1"/>
  <c r="J5276" i="1"/>
  <c r="J5346" i="1"/>
  <c r="H4296" i="7"/>
  <c r="H4295" i="7"/>
  <c r="H4294" i="7"/>
  <c r="H4293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29" i="7" s="1"/>
  <c r="G5361" i="1"/>
  <c r="F5368" i="1"/>
  <c r="G4128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287" i="7"/>
  <c r="H4286" i="7"/>
  <c r="H4284" i="7"/>
  <c r="G4284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7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122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184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341" i="7"/>
  <c r="H4340" i="7"/>
  <c r="H4339" i="7"/>
  <c r="H4338" i="7"/>
  <c r="K4045" i="7"/>
  <c r="K4046" i="7"/>
  <c r="K3858" i="7"/>
  <c r="K3874" i="7"/>
  <c r="K4284" i="7"/>
  <c r="K4078" i="7"/>
  <c r="K3578" i="7"/>
  <c r="K3811" i="7"/>
  <c r="K3724" i="7"/>
  <c r="K3725" i="7"/>
  <c r="K3726" i="7"/>
  <c r="K3732" i="7"/>
  <c r="K3587" i="7"/>
  <c r="K3591" i="7"/>
  <c r="K4112" i="7"/>
  <c r="K4113" i="7"/>
  <c r="K4114" i="7"/>
  <c r="K4115" i="7"/>
  <c r="K4234" i="7"/>
  <c r="K4120" i="7"/>
  <c r="K4128" i="7"/>
  <c r="K4129" i="7"/>
  <c r="K4133" i="7"/>
  <c r="K4119" i="7"/>
  <c r="K4087" i="7"/>
  <c r="K4088" i="7"/>
  <c r="K3765" i="7"/>
  <c r="K4157" i="7"/>
  <c r="K1380" i="7"/>
  <c r="K3964" i="7"/>
  <c r="K4377" i="7"/>
  <c r="K4374" i="7"/>
  <c r="K4140" i="7"/>
  <c r="K4141" i="7"/>
  <c r="K4142" i="7"/>
  <c r="K4233" i="7"/>
  <c r="K4246" i="7"/>
  <c r="K3808" i="7"/>
  <c r="K3810" i="7"/>
  <c r="K3792" i="7"/>
  <c r="K3673" i="7"/>
  <c r="K4190" i="7"/>
  <c r="K4420" i="7"/>
  <c r="K4423" i="7"/>
  <c r="K4424" i="7"/>
  <c r="K4425" i="7"/>
  <c r="K4426" i="7"/>
  <c r="K4427" i="7"/>
  <c r="K4428" i="7"/>
  <c r="K4429" i="7"/>
  <c r="K3994" i="7"/>
  <c r="K4010" i="7"/>
  <c r="K4011" i="7"/>
  <c r="K4193" i="7"/>
  <c r="K4376" i="7"/>
  <c r="K4048" i="7"/>
  <c r="K4049" i="7"/>
  <c r="K4097" i="7"/>
  <c r="K3709" i="7"/>
  <c r="K4189" i="7"/>
  <c r="K4313" i="7"/>
  <c r="K3899" i="7"/>
  <c r="K3900" i="7"/>
  <c r="K3901" i="7"/>
  <c r="K3902" i="7"/>
  <c r="K4101" i="7"/>
  <c r="K4103" i="7"/>
  <c r="K4130" i="7"/>
  <c r="K4202" i="7"/>
  <c r="K4299" i="7"/>
  <c r="K4300" i="7"/>
  <c r="K3656" i="7"/>
  <c r="K3695" i="7"/>
  <c r="K3990" i="7"/>
  <c r="K3980" i="7"/>
  <c r="K3982" i="7"/>
  <c r="K3983" i="7"/>
  <c r="K3998" i="7"/>
  <c r="K3999" i="7"/>
  <c r="K4000" i="7"/>
  <c r="K4003" i="7"/>
  <c r="K4375" i="7"/>
  <c r="K3415" i="7"/>
  <c r="K3474" i="7"/>
  <c r="K3523" i="7"/>
  <c r="K4035" i="7"/>
  <c r="K3777" i="7"/>
  <c r="K3778" i="7"/>
  <c r="K3779" i="7"/>
  <c r="K3780" i="7"/>
  <c r="K4154" i="7"/>
  <c r="K4155" i="7"/>
  <c r="K4156" i="7"/>
  <c r="K4159" i="7"/>
  <c r="K4053" i="7"/>
  <c r="K4054" i="7"/>
  <c r="K4059" i="7"/>
  <c r="K4060" i="7"/>
  <c r="K4037" i="7"/>
  <c r="K4108" i="7"/>
  <c r="K4235" i="7"/>
  <c r="K4236" i="7"/>
  <c r="K4238" i="7"/>
  <c r="K4136" i="7"/>
  <c r="K4137" i="7"/>
  <c r="K3798" i="7"/>
  <c r="K3799" i="7"/>
  <c r="K4309" i="7"/>
  <c r="K4310" i="7"/>
  <c r="K4311" i="7"/>
  <c r="K4312" i="7"/>
  <c r="K4344" i="7"/>
  <c r="K4345" i="7"/>
  <c r="K4346" i="7"/>
  <c r="K4329" i="7"/>
  <c r="K4149" i="7"/>
  <c r="K4145" i="7"/>
  <c r="K4354" i="7"/>
  <c r="K4355" i="7"/>
  <c r="K4357" i="7"/>
  <c r="K4242" i="7"/>
  <c r="K4243" i="7"/>
  <c r="K4244" i="7"/>
  <c r="K4245" i="7"/>
  <c r="K1294" i="7"/>
  <c r="K1308" i="7"/>
  <c r="K1357" i="7"/>
  <c r="K1358" i="7"/>
  <c r="K4208" i="7"/>
  <c r="K4209" i="7"/>
  <c r="K4229" i="7"/>
  <c r="K4230" i="7"/>
  <c r="K4358" i="7"/>
  <c r="K4106" i="7"/>
  <c r="K4107" i="7"/>
  <c r="K4150" i="7"/>
  <c r="K4165" i="7"/>
  <c r="K1428" i="7"/>
  <c r="K1429" i="7"/>
  <c r="K1495" i="7"/>
  <c r="K1496" i="7"/>
  <c r="K3947" i="7"/>
  <c r="K3948" i="7"/>
  <c r="K3949" i="7"/>
  <c r="K3951" i="7"/>
  <c r="K4301" i="7"/>
  <c r="K4302" i="7"/>
  <c r="K4307" i="7"/>
  <c r="K4308" i="7"/>
  <c r="K4314" i="7"/>
  <c r="K4315" i="7"/>
  <c r="K4316" i="7"/>
  <c r="K4317" i="7"/>
  <c r="K4318" i="7"/>
  <c r="K4109" i="7"/>
  <c r="K3834" i="7"/>
  <c r="K3835" i="7"/>
  <c r="K3836" i="7"/>
  <c r="K3837" i="7"/>
  <c r="K4334" i="7"/>
  <c r="K4335" i="7"/>
  <c r="K4336" i="7"/>
  <c r="K4337" i="7"/>
  <c r="K4289" i="7"/>
  <c r="K4111" i="7"/>
  <c r="K4116" i="7"/>
  <c r="K4117" i="7"/>
  <c r="K3785" i="7"/>
  <c r="K3786" i="7"/>
  <c r="K3996" i="7"/>
  <c r="K3984" i="7"/>
  <c r="K3978" i="7"/>
  <c r="K3997" i="7"/>
  <c r="K3985" i="7"/>
  <c r="K3979" i="7"/>
  <c r="K4084" i="7"/>
  <c r="K4085" i="7"/>
  <c r="K4086" i="7"/>
  <c r="K4062" i="7"/>
  <c r="K4394" i="7"/>
  <c r="K4395" i="7"/>
  <c r="K4396" i="7"/>
  <c r="K4110" i="7"/>
  <c r="K4390" i="7"/>
  <c r="K4391" i="7"/>
  <c r="K4392" i="7"/>
  <c r="K4393" i="7"/>
  <c r="K4383" i="7"/>
  <c r="K4384" i="7"/>
  <c r="K4386" i="7"/>
  <c r="K4387" i="7"/>
  <c r="K4164" i="7"/>
  <c r="K4270" i="7"/>
  <c r="K4274" i="7"/>
  <c r="K4275" i="7"/>
  <c r="K4276" i="7"/>
  <c r="K3991" i="7"/>
  <c r="K3992" i="7"/>
  <c r="K3993" i="7"/>
  <c r="K3995" i="7"/>
  <c r="K4291" i="7"/>
  <c r="K4257" i="7"/>
  <c r="K4258" i="7"/>
  <c r="K4259" i="7"/>
  <c r="K4269" i="7"/>
  <c r="K4203" i="7"/>
  <c r="K4292" i="7"/>
  <c r="K4283" i="7"/>
  <c r="K4327" i="7"/>
  <c r="K4328" i="7"/>
  <c r="K4330" i="7"/>
  <c r="K4331" i="7"/>
  <c r="K3722" i="7"/>
  <c r="K4433" i="7"/>
  <c r="K4434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3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184" i="7" s="1"/>
  <c r="F5320" i="1"/>
  <c r="G4122" i="7" s="1"/>
  <c r="F5351" i="1"/>
  <c r="F5310" i="1"/>
  <c r="F5428" i="1"/>
  <c r="G4158" i="7" s="1"/>
  <c r="F5276" i="1"/>
  <c r="G1292" i="7" s="1"/>
  <c r="F5325" i="1"/>
  <c r="F5372" i="1"/>
  <c r="G43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341" i="7" s="1"/>
  <c r="F5362" i="1"/>
  <c r="G3859" i="7" s="1"/>
  <c r="F5393" i="1"/>
  <c r="G4043" i="7" s="1"/>
  <c r="F5406" i="1"/>
  <c r="F5369" i="1"/>
  <c r="F5358" i="1"/>
  <c r="F5370" i="1"/>
  <c r="G4295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340" i="7" s="1"/>
  <c r="F5388" i="1"/>
  <c r="G3580" i="7" s="1"/>
  <c r="F5425" i="1"/>
  <c r="F5532" i="1"/>
  <c r="F5471" i="1"/>
  <c r="F5348" i="1"/>
  <c r="F5414" i="1"/>
  <c r="G3686" i="7" s="1"/>
  <c r="F5386" i="1"/>
  <c r="G3723" i="7" s="1"/>
  <c r="F5296" i="1"/>
  <c r="G4131" i="7" s="1"/>
  <c r="F5421" i="1"/>
  <c r="G4134" i="7" s="1"/>
  <c r="F5383" i="1"/>
  <c r="G3791" i="7" s="1"/>
  <c r="F5417" i="1"/>
  <c r="G4132" i="7" s="1"/>
  <c r="F5449" i="1"/>
  <c r="F5498" i="1"/>
  <c r="F5502" i="1"/>
  <c r="F5505" i="1"/>
  <c r="G4290" i="7" s="1"/>
  <c r="F5424" i="1"/>
  <c r="G3674" i="7" s="1"/>
  <c r="F5381" i="1"/>
  <c r="F5435" i="1"/>
  <c r="F5360" i="1"/>
  <c r="F5399" i="1"/>
  <c r="G3790" i="7" s="1"/>
  <c r="F5524" i="1"/>
  <c r="G3602" i="7" s="1"/>
  <c r="F5494" i="1"/>
  <c r="F5389" i="1"/>
  <c r="F5390" i="1"/>
  <c r="F5402" i="1"/>
  <c r="G4118" i="7" s="1"/>
  <c r="F5501" i="1"/>
  <c r="F5496" i="1"/>
  <c r="F5506" i="1"/>
  <c r="F5469" i="1"/>
  <c r="G4081" i="7" s="1"/>
  <c r="F5447" i="1"/>
  <c r="G3764" i="7" s="1"/>
  <c r="F5466" i="1"/>
  <c r="G4121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288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168" i="7" s="1"/>
  <c r="F5433" i="1"/>
  <c r="F5436" i="1"/>
  <c r="F5519" i="1"/>
  <c r="F5483" i="1"/>
  <c r="G4414" i="7" s="1"/>
  <c r="F5495" i="1"/>
  <c r="G4419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370" i="7" s="1"/>
  <c r="F5514" i="1"/>
  <c r="F5518" i="1"/>
  <c r="F5403" i="1"/>
  <c r="G3964" i="7"/>
  <c r="G4140" i="7"/>
  <c r="G4142" i="7"/>
  <c r="F5525" i="1"/>
  <c r="F5452" i="1"/>
  <c r="G3737" i="7" s="1"/>
  <c r="F5531" i="1"/>
  <c r="G4410" i="7" s="1"/>
  <c r="F5520" i="1"/>
  <c r="F5523" i="1"/>
  <c r="F5434" i="1"/>
  <c r="F5533" i="1"/>
  <c r="F5539" i="1"/>
  <c r="G4371" i="7" s="1"/>
  <c r="F5562" i="1"/>
  <c r="G3796" i="7" s="1"/>
  <c r="F5516" i="1"/>
  <c r="F5490" i="1"/>
  <c r="G3663" i="7" s="1"/>
  <c r="F5528" i="1"/>
  <c r="F5553" i="1"/>
  <c r="G4412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2" i="7" s="1"/>
  <c r="F5580" i="1"/>
  <c r="G4195" i="7" s="1"/>
  <c r="F5537" i="1"/>
  <c r="G4050" i="7" s="1"/>
  <c r="F5564" i="1"/>
  <c r="F5565" i="1"/>
  <c r="F5577" i="1"/>
  <c r="G4368" i="7" s="1"/>
  <c r="F5567" i="1"/>
  <c r="F5581" i="1"/>
  <c r="G4194" i="7" s="1"/>
  <c r="F5571" i="1"/>
  <c r="F5573" i="1"/>
  <c r="F5440" i="1"/>
  <c r="F5575" i="1"/>
  <c r="G4272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861" i="1"/>
  <c r="F5612" i="1"/>
  <c r="F5613" i="1"/>
  <c r="F5614" i="1"/>
  <c r="F5615" i="1"/>
  <c r="F5616" i="1"/>
  <c r="F5617" i="1"/>
  <c r="F5618" i="1"/>
  <c r="F5694" i="1"/>
  <c r="F5838" i="1"/>
  <c r="F5858" i="1"/>
  <c r="F5711" i="1"/>
  <c r="G4033" i="7" s="1"/>
  <c r="F5864" i="1"/>
  <c r="F5810" i="1"/>
  <c r="F5695" i="1"/>
  <c r="F5805" i="1"/>
  <c r="F5824" i="1"/>
  <c r="F5645" i="1"/>
  <c r="F5820" i="1"/>
  <c r="F5863" i="1"/>
  <c r="F5635" i="1"/>
  <c r="F5860" i="1"/>
  <c r="F5746" i="1"/>
  <c r="F5713" i="1"/>
  <c r="G4031" i="7" s="1"/>
  <c r="F5799" i="1"/>
  <c r="F5825" i="1"/>
  <c r="F5818" i="1"/>
  <c r="F5633" i="1"/>
  <c r="F5656" i="1"/>
  <c r="F5690" i="1"/>
  <c r="F5691" i="1"/>
  <c r="F5682" i="1"/>
  <c r="F5732" i="1"/>
  <c r="F5785" i="1"/>
  <c r="G4297" i="7" s="1"/>
  <c r="F5789" i="1"/>
  <c r="F5626" i="1"/>
  <c r="G3675" i="7" s="1"/>
  <c r="F5862" i="1"/>
  <c r="F5832" i="1"/>
  <c r="F5833" i="1"/>
  <c r="F5743" i="1"/>
  <c r="F5716" i="1"/>
  <c r="F5717" i="1"/>
  <c r="F5718" i="1"/>
  <c r="F5753" i="1"/>
  <c r="G4262" i="7" s="1"/>
  <c r="F5755" i="1"/>
  <c r="F5704" i="1"/>
  <c r="G4135" i="7" s="1"/>
  <c r="F5703" i="1"/>
  <c r="G4127" i="7" s="1"/>
  <c r="F5834" i="1"/>
  <c r="F5835" i="1"/>
  <c r="F5756" i="1"/>
  <c r="G4261" i="7" s="1"/>
  <c r="F5836" i="1"/>
  <c r="F5757" i="1"/>
  <c r="F5745" i="1"/>
  <c r="F5643" i="1"/>
  <c r="F5754" i="1"/>
  <c r="F5790" i="1"/>
  <c r="F5707" i="1"/>
  <c r="F5781" i="1"/>
  <c r="F5646" i="1"/>
  <c r="F5719" i="1"/>
  <c r="F5636" i="1"/>
  <c r="F5772" i="1"/>
  <c r="F5826" i="1"/>
  <c r="F5683" i="1"/>
  <c r="F5706" i="1"/>
  <c r="G4125" i="7" s="1"/>
  <c r="F5800" i="1"/>
  <c r="F5867" i="1"/>
  <c r="G4422" i="7" s="1"/>
  <c r="F5865" i="1"/>
  <c r="G4417" i="7" s="1"/>
  <c r="F5866" i="1"/>
  <c r="G4416" i="7" s="1"/>
  <c r="F5675" i="1"/>
  <c r="F5735" i="1"/>
  <c r="G4042" i="7" s="1"/>
  <c r="F5773" i="1"/>
  <c r="F5876" i="1"/>
  <c r="F5637" i="1"/>
  <c r="F5868" i="1"/>
  <c r="G4421" i="7" s="1"/>
  <c r="F5786" i="1"/>
  <c r="G4298" i="7" s="1"/>
  <c r="F5627" i="1"/>
  <c r="G3657" i="7" s="1"/>
  <c r="F5737" i="1"/>
  <c r="F5782" i="1"/>
  <c r="G4293" i="7" s="1"/>
  <c r="F5677" i="1"/>
  <c r="F5747" i="1"/>
  <c r="G4241" i="7" s="1"/>
  <c r="F5638" i="1"/>
  <c r="F5774" i="1"/>
  <c r="G4285" i="7" s="1"/>
  <c r="F5817" i="1"/>
  <c r="G4369" i="7" s="1"/>
  <c r="F5851" i="1"/>
  <c r="G3475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3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348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184" i="7" s="1"/>
  <c r="G5320" i="1"/>
  <c r="K4122" i="7" s="1"/>
  <c r="G5351" i="1"/>
  <c r="G5310" i="1"/>
  <c r="G5428" i="1"/>
  <c r="K4158" i="7" s="1"/>
  <c r="G5276" i="1"/>
  <c r="K1292" i="7" s="1"/>
  <c r="G5325" i="1"/>
  <c r="G5372" i="1"/>
  <c r="K4338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294" i="7" s="1"/>
  <c r="G5379" i="1"/>
  <c r="G5290" i="1"/>
  <c r="K1293" i="7" s="1"/>
  <c r="G5442" i="1"/>
  <c r="K4095" i="7" s="1"/>
  <c r="G5412" i="1"/>
  <c r="K4341" i="7" s="1"/>
  <c r="G5362" i="1"/>
  <c r="K3859" i="7" s="1"/>
  <c r="G5393" i="1"/>
  <c r="K4043" i="7" s="1"/>
  <c r="G5406" i="1"/>
  <c r="G5369" i="1"/>
  <c r="G5358" i="1"/>
  <c r="G5370" i="1"/>
  <c r="K4295" i="7" s="1"/>
  <c r="G5292" i="1"/>
  <c r="G5350" i="1"/>
  <c r="G5499" i="1"/>
  <c r="K4404" i="7" s="1"/>
  <c r="G5419" i="1"/>
  <c r="G5397" i="1"/>
  <c r="K4044" i="7" s="1"/>
  <c r="G5458" i="1"/>
  <c r="G5334" i="1"/>
  <c r="G5441" i="1"/>
  <c r="G5289" i="1"/>
  <c r="K1282" i="7" s="1"/>
  <c r="G5374" i="1"/>
  <c r="G5384" i="1"/>
  <c r="K4340" i="7" s="1"/>
  <c r="G5388" i="1"/>
  <c r="K3580" i="7" s="1"/>
  <c r="G5425" i="1"/>
  <c r="G5532" i="1"/>
  <c r="G5471" i="1"/>
  <c r="G5348" i="1"/>
  <c r="G5414" i="1"/>
  <c r="K3686" i="7" s="1"/>
  <c r="G5386" i="1"/>
  <c r="K3723" i="7" s="1"/>
  <c r="G5296" i="1"/>
  <c r="K4131" i="7" s="1"/>
  <c r="G5421" i="1"/>
  <c r="K4134" i="7" s="1"/>
  <c r="G5383" i="1"/>
  <c r="K3791" i="7" s="1"/>
  <c r="G5417" i="1"/>
  <c r="K4132" i="7" s="1"/>
  <c r="G5449" i="1"/>
  <c r="G5498" i="1"/>
  <c r="K3976" i="7" s="1"/>
  <c r="G5502" i="1"/>
  <c r="G5505" i="1"/>
  <c r="K4290" i="7" s="1"/>
  <c r="G5424" i="1"/>
  <c r="K3674" i="7" s="1"/>
  <c r="G5381" i="1"/>
  <c r="G5435" i="1"/>
  <c r="G5360" i="1"/>
  <c r="G5399" i="1"/>
  <c r="K3790" i="7" s="1"/>
  <c r="G5524" i="1"/>
  <c r="K3602" i="7" s="1"/>
  <c r="G5494" i="1"/>
  <c r="G5389" i="1"/>
  <c r="G5390" i="1"/>
  <c r="G5402" i="1"/>
  <c r="K4118" i="7" s="1"/>
  <c r="G5501" i="1"/>
  <c r="K3735" i="7" s="1"/>
  <c r="G5496" i="1"/>
  <c r="G5506" i="1"/>
  <c r="G5469" i="1"/>
  <c r="K4081" i="7" s="1"/>
  <c r="G5447" i="1"/>
  <c r="K3764" i="7" s="1"/>
  <c r="G5466" i="1"/>
  <c r="K4121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288" i="7" s="1"/>
  <c r="G5559" i="1"/>
  <c r="G5423" i="1"/>
  <c r="K3676" i="7" s="1"/>
  <c r="G5507" i="1"/>
  <c r="G5470" i="1"/>
  <c r="K4232" i="7" s="1"/>
  <c r="G5438" i="1"/>
  <c r="K3807" i="7" s="1"/>
  <c r="G5405" i="1"/>
  <c r="K4096" i="7" s="1"/>
  <c r="G5404" i="1"/>
  <c r="K3800" i="7" s="1"/>
  <c r="G5574" i="1"/>
  <c r="G5512" i="1"/>
  <c r="K4139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168" i="7" s="1"/>
  <c r="G5433" i="1"/>
  <c r="G5436" i="1"/>
  <c r="G5519" i="1"/>
  <c r="K4056" i="7" s="1"/>
  <c r="G5483" i="1"/>
  <c r="K4414" i="7" s="1"/>
  <c r="G5495" i="1"/>
  <c r="K4419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370" i="7" s="1"/>
  <c r="G5514" i="1"/>
  <c r="G5518" i="1"/>
  <c r="G5403" i="1"/>
  <c r="G5525" i="1"/>
  <c r="G5452" i="1"/>
  <c r="K3737" i="7" s="1"/>
  <c r="G5531" i="1"/>
  <c r="K4410" i="7" s="1"/>
  <c r="G5520" i="1"/>
  <c r="G5523" i="1"/>
  <c r="K4403" i="7" s="1"/>
  <c r="G5434" i="1"/>
  <c r="K3733" i="7" s="1"/>
  <c r="G5533" i="1"/>
  <c r="G5539" i="1"/>
  <c r="K4371" i="7" s="1"/>
  <c r="G5562" i="1"/>
  <c r="K3796" i="7" s="1"/>
  <c r="G5516" i="1"/>
  <c r="G5490" i="1"/>
  <c r="K3663" i="7" s="1"/>
  <c r="G5528" i="1"/>
  <c r="G5553" i="1"/>
  <c r="K4412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2" i="7" s="1"/>
  <c r="G5580" i="1"/>
  <c r="K4195" i="7" s="1"/>
  <c r="G5537" i="1"/>
  <c r="K4050" i="7" s="1"/>
  <c r="G5564" i="1"/>
  <c r="G5565" i="1"/>
  <c r="G5577" i="1"/>
  <c r="K4368" i="7" s="1"/>
  <c r="G5567" i="1"/>
  <c r="G5581" i="1"/>
  <c r="K4194" i="7" s="1"/>
  <c r="G5571" i="1"/>
  <c r="G5573" i="1"/>
  <c r="G5440" i="1"/>
  <c r="G5575" i="1"/>
  <c r="K4272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861" i="1"/>
  <c r="G5612" i="1"/>
  <c r="G5613" i="1"/>
  <c r="G5614" i="1"/>
  <c r="G5615" i="1"/>
  <c r="G5616" i="1"/>
  <c r="G5617" i="1"/>
  <c r="G5618" i="1"/>
  <c r="G5694" i="1"/>
  <c r="G5838" i="1"/>
  <c r="G5858" i="1"/>
  <c r="K4237" i="7" s="1"/>
  <c r="G5711" i="1"/>
  <c r="K4033" i="7" s="1"/>
  <c r="G5864" i="1"/>
  <c r="G5810" i="1"/>
  <c r="G5695" i="1"/>
  <c r="G5805" i="1"/>
  <c r="K4188" i="7" s="1"/>
  <c r="G5824" i="1"/>
  <c r="G5645" i="1"/>
  <c r="G5820" i="1"/>
  <c r="K4372" i="7" s="1"/>
  <c r="G5863" i="1"/>
  <c r="G5635" i="1"/>
  <c r="G5860" i="1"/>
  <c r="G5746" i="1"/>
  <c r="G5713" i="1"/>
  <c r="K4031" i="7" s="1"/>
  <c r="G5799" i="1"/>
  <c r="G5825" i="1"/>
  <c r="G5818" i="1"/>
  <c r="G5633" i="1"/>
  <c r="G5656" i="1"/>
  <c r="G5690" i="1"/>
  <c r="G5691" i="1"/>
  <c r="G5682" i="1"/>
  <c r="G5732" i="1"/>
  <c r="G5785" i="1"/>
  <c r="K4297" i="7" s="1"/>
  <c r="G5789" i="1"/>
  <c r="G5626" i="1"/>
  <c r="K3675" i="7" s="1"/>
  <c r="G5862" i="1"/>
  <c r="G5832" i="1"/>
  <c r="G5833" i="1"/>
  <c r="G5743" i="1"/>
  <c r="G5716" i="1"/>
  <c r="G5717" i="1"/>
  <c r="G5718" i="1"/>
  <c r="G5753" i="1"/>
  <c r="K4262" i="7" s="1"/>
  <c r="G5755" i="1"/>
  <c r="G5704" i="1"/>
  <c r="K4135" i="7" s="1"/>
  <c r="G5703" i="1"/>
  <c r="K4127" i="7" s="1"/>
  <c r="G5834" i="1"/>
  <c r="G5835" i="1"/>
  <c r="K4266" i="7" s="1"/>
  <c r="G5756" i="1"/>
  <c r="K4261" i="7" s="1"/>
  <c r="G5836" i="1"/>
  <c r="G5757" i="1"/>
  <c r="G5745" i="1"/>
  <c r="G5643" i="1"/>
  <c r="G5754" i="1"/>
  <c r="G5790" i="1"/>
  <c r="G5707" i="1"/>
  <c r="G5781" i="1"/>
  <c r="G5646" i="1"/>
  <c r="G5719" i="1"/>
  <c r="G5636" i="1"/>
  <c r="G5772" i="1"/>
  <c r="G5826" i="1"/>
  <c r="G5683" i="1"/>
  <c r="G5706" i="1"/>
  <c r="K4125" i="7" s="1"/>
  <c r="G5800" i="1"/>
  <c r="K4102" i="7" s="1"/>
  <c r="G5867" i="1"/>
  <c r="K4422" i="7" s="1"/>
  <c r="G5865" i="1"/>
  <c r="K4417" i="7" s="1"/>
  <c r="G5866" i="1"/>
  <c r="K4416" i="7" s="1"/>
  <c r="G5675" i="1"/>
  <c r="G5735" i="1"/>
  <c r="K4042" i="7" s="1"/>
  <c r="G5773" i="1"/>
  <c r="G5876" i="1"/>
  <c r="G5637" i="1"/>
  <c r="G5868" i="1"/>
  <c r="K4421" i="7" s="1"/>
  <c r="G5786" i="1"/>
  <c r="K4298" i="7" s="1"/>
  <c r="G5627" i="1"/>
  <c r="K3657" i="7" s="1"/>
  <c r="G5737" i="1"/>
  <c r="G5782" i="1"/>
  <c r="K4293" i="7" s="1"/>
  <c r="G5677" i="1"/>
  <c r="G5747" i="1"/>
  <c r="K4241" i="7" s="1"/>
  <c r="G5638" i="1"/>
  <c r="G5774" i="1"/>
  <c r="K4285" i="7" s="1"/>
  <c r="G5817" i="1"/>
  <c r="K4369" i="7" s="1"/>
  <c r="G5851" i="1"/>
  <c r="K3475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356" i="7" l="1"/>
  <c r="G4385" i="7"/>
  <c r="K4385" i="7"/>
  <c r="K4356" i="7"/>
  <c r="G4237" i="7"/>
  <c r="G4188" i="7"/>
  <c r="G4313" i="7"/>
  <c r="G4102" i="7"/>
  <c r="G4266" i="7"/>
  <c r="K4052" i="7"/>
  <c r="G4052" i="7"/>
  <c r="K4264" i="7"/>
  <c r="K4271" i="7"/>
  <c r="G3611" i="7"/>
  <c r="K4413" i="7"/>
  <c r="G4413" i="7"/>
  <c r="G4047" i="7"/>
  <c r="K4047" i="7"/>
  <c r="K4009" i="7"/>
  <c r="K4268" i="7"/>
  <c r="K4267" i="7"/>
  <c r="K4418" i="7"/>
  <c r="G3594" i="7"/>
  <c r="G4104" i="7"/>
  <c r="K3611" i="7"/>
  <c r="K3662" i="7"/>
  <c r="K4104" i="7"/>
  <c r="K4231" i="7"/>
  <c r="G4267" i="7"/>
  <c r="G4418" i="7"/>
  <c r="K4260" i="7"/>
  <c r="K4273" i="7"/>
  <c r="G4009" i="7"/>
  <c r="G4273" i="7"/>
  <c r="K4401" i="7"/>
  <c r="K3797" i="7"/>
  <c r="K4373" i="7"/>
  <c r="K3710" i="7"/>
  <c r="K4100" i="7"/>
  <c r="K4265" i="7"/>
  <c r="K1426" i="7"/>
  <c r="K4008" i="7"/>
  <c r="K3594" i="7"/>
  <c r="K4001" i="7"/>
  <c r="K4415" i="7"/>
  <c r="G4264" i="7"/>
  <c r="G4260" i="7"/>
  <c r="G4271" i="7"/>
  <c r="G4411" i="7"/>
  <c r="G4169" i="7"/>
  <c r="G3797" i="7"/>
  <c r="G4403" i="7"/>
  <c r="G4001" i="7"/>
  <c r="G4415" i="7"/>
  <c r="K4287" i="7"/>
  <c r="K4296" i="7"/>
  <c r="K4263" i="7"/>
  <c r="K4099" i="7"/>
  <c r="K4239" i="7"/>
  <c r="K4002" i="7"/>
  <c r="G3710" i="7"/>
  <c r="G4100" i="7"/>
  <c r="G4265" i="7"/>
  <c r="G1426" i="7"/>
  <c r="G4008" i="7"/>
  <c r="G3981" i="7"/>
  <c r="G4373" i="7"/>
  <c r="G4002" i="7"/>
  <c r="G4268" i="7"/>
  <c r="G4287" i="7"/>
  <c r="G4296" i="7"/>
  <c r="G4263" i="7"/>
  <c r="G4099" i="7"/>
  <c r="G4239" i="7"/>
  <c r="K4411" i="7"/>
  <c r="K4169" i="7"/>
  <c r="G3662" i="7"/>
  <c r="G4092" i="7"/>
  <c r="G4401" i="7"/>
  <c r="G3975" i="7"/>
  <c r="K3975" i="7"/>
  <c r="K4255" i="7"/>
  <c r="G4231" i="7"/>
  <c r="G4254" i="7"/>
  <c r="G4232" i="7"/>
  <c r="G4255" i="7"/>
  <c r="K4254" i="7"/>
  <c r="K4286" i="7"/>
  <c r="G4286" i="7"/>
  <c r="G4012" i="7"/>
  <c r="K4012" i="7"/>
  <c r="G3738" i="7"/>
  <c r="G4066" i="7"/>
  <c r="G4064" i="7"/>
  <c r="G4065" i="7"/>
  <c r="G4063" i="7"/>
  <c r="K3738" i="7"/>
  <c r="K3603" i="7"/>
  <c r="G3603" i="7"/>
  <c r="G3733" i="7"/>
  <c r="G3735" i="7"/>
  <c r="G4056" i="7"/>
  <c r="G3808" i="7"/>
  <c r="G3988" i="7"/>
  <c r="G3673" i="7"/>
  <c r="G4139" i="7"/>
  <c r="G3986" i="7"/>
  <c r="K4077" i="7"/>
  <c r="G4077" i="7"/>
  <c r="K4240" i="7"/>
  <c r="K4191" i="7"/>
  <c r="G4240" i="7"/>
  <c r="G4191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402" i="7"/>
  <c r="G3716" i="7"/>
  <c r="G3714" i="7"/>
  <c r="G4402" i="7"/>
  <c r="G4404" i="7"/>
  <c r="F5222" i="1"/>
  <c r="G4348" i="7"/>
  <c r="G4044" i="7"/>
  <c r="F5303" i="1"/>
  <c r="F5189" i="1"/>
  <c r="F5020" i="1"/>
  <c r="G4294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5" i="7"/>
  <c r="H4171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303" i="7"/>
  <c r="G4304" i="7"/>
  <c r="H4304" i="7"/>
  <c r="G4305" i="7"/>
  <c r="H4305" i="7"/>
  <c r="G4306" i="7"/>
  <c r="H4306" i="7"/>
  <c r="J5225" i="1"/>
  <c r="J5220" i="1"/>
  <c r="J5211" i="1"/>
  <c r="H4166" i="7"/>
  <c r="J5199" i="1"/>
  <c r="J5203" i="1"/>
  <c r="J5198" i="1"/>
  <c r="M5170" i="1"/>
  <c r="J5150" i="1"/>
  <c r="M5139" i="1"/>
  <c r="J5109" i="1"/>
  <c r="J4995" i="1"/>
  <c r="H4409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77" i="7"/>
  <c r="H3592" i="7"/>
  <c r="H3593" i="7"/>
  <c r="H4167" i="7"/>
  <c r="G4170" i="7"/>
  <c r="H4170" i="7"/>
  <c r="G3575" i="7"/>
  <c r="H3575" i="7"/>
  <c r="G3576" i="7"/>
  <c r="H3576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4153" i="7"/>
  <c r="G4153" i="7"/>
  <c r="H4152" i="7"/>
  <c r="G4152" i="7"/>
  <c r="H4151" i="7"/>
  <c r="G4151" i="7"/>
  <c r="H4162" i="7"/>
  <c r="H4161" i="7"/>
  <c r="H4160" i="7"/>
  <c r="G4185" i="7" l="1"/>
  <c r="G4375" i="7"/>
  <c r="G4171" i="7"/>
  <c r="G4372" i="7"/>
  <c r="G4073" i="7"/>
  <c r="G3972" i="7"/>
  <c r="H4388" i="7"/>
  <c r="H4389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6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143" i="7"/>
  <c r="G4144" i="7"/>
  <c r="H4144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408" i="7"/>
  <c r="L4932" i="1"/>
  <c r="J4932" i="1"/>
  <c r="H3931" i="7"/>
  <c r="H3930" i="7"/>
  <c r="H3929" i="7"/>
  <c r="H3928" i="7"/>
  <c r="H4282" i="7"/>
  <c r="H4281" i="7"/>
  <c r="G4281" i="7"/>
  <c r="H4280" i="7"/>
  <c r="G428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020" i="7"/>
  <c r="H4019" i="7"/>
  <c r="H4018" i="7"/>
  <c r="H4017" i="7"/>
  <c r="G4126" i="7" l="1"/>
  <c r="G3809" i="7"/>
  <c r="F5078" i="1"/>
  <c r="G3939" i="7" s="1"/>
  <c r="F5181" i="1"/>
  <c r="G3805" i="7" s="1"/>
  <c r="H4138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2253" i="7"/>
  <c r="G2255" i="7"/>
  <c r="H2255" i="7"/>
  <c r="G3214" i="7"/>
  <c r="H3214" i="7"/>
  <c r="H3215" i="7"/>
  <c r="L5041" i="1"/>
  <c r="J5041" i="1"/>
  <c r="J5065" i="1"/>
  <c r="H3766" i="7"/>
  <c r="H4173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173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42" i="7"/>
  <c r="H3843" i="7"/>
  <c r="H3856" i="7"/>
  <c r="H3857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172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407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351" i="7"/>
  <c r="H4343" i="7"/>
  <c r="G4343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326" i="7"/>
  <c r="H4325" i="7"/>
  <c r="H4324" i="7"/>
  <c r="H4323" i="7"/>
  <c r="J4966" i="1"/>
  <c r="O4988" i="1"/>
  <c r="L4988" i="1"/>
  <c r="J4988" i="1"/>
  <c r="J5013" i="1"/>
  <c r="J4591" i="1"/>
  <c r="H1576" i="7"/>
  <c r="H1624" i="7"/>
  <c r="G1625" i="7"/>
  <c r="H1625" i="7"/>
  <c r="G1626" i="7"/>
  <c r="H162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250" i="7"/>
  <c r="G4250" i="7"/>
  <c r="H4249" i="7"/>
  <c r="H4248" i="7"/>
  <c r="H4247" i="7"/>
  <c r="G4247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248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124" i="7" s="1"/>
  <c r="H4124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201" i="7"/>
  <c r="G4201" i="7"/>
  <c r="H4196" i="7"/>
  <c r="G4196" i="7"/>
  <c r="H4187" i="7"/>
  <c r="G4187" i="7"/>
  <c r="H4186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347" i="7"/>
  <c r="H4147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342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7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186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576" i="7" s="1"/>
  <c r="F4977" i="1"/>
  <c r="G4325" i="7" s="1"/>
  <c r="F5200" i="1"/>
  <c r="F5066" i="1"/>
  <c r="F5197" i="1"/>
  <c r="F5227" i="1"/>
  <c r="F5039" i="1"/>
  <c r="G4351" i="7" s="1"/>
  <c r="F5168" i="1"/>
  <c r="F5040" i="1"/>
  <c r="G2819" i="7" s="1"/>
  <c r="F5070" i="1"/>
  <c r="G2540" i="7" s="1"/>
  <c r="F5245" i="1"/>
  <c r="F5242" i="1"/>
  <c r="F4979" i="1"/>
  <c r="G3854" i="7" s="1"/>
  <c r="F5065" i="1"/>
  <c r="G4249" i="7" s="1"/>
  <c r="F4980" i="1"/>
  <c r="G4324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624" i="7" s="1"/>
  <c r="F4932" i="1"/>
  <c r="G4407" i="7" s="1"/>
  <c r="F5045" i="1"/>
  <c r="G3853" i="7" s="1"/>
  <c r="F5008" i="1"/>
  <c r="G4326" i="7" s="1"/>
  <c r="F5121" i="1"/>
  <c r="G3730" i="7" s="1"/>
  <c r="F5046" i="1"/>
  <c r="G3852" i="7" s="1"/>
  <c r="F5057" i="1"/>
  <c r="G2541" i="7" s="1"/>
  <c r="F5266" i="1"/>
  <c r="G4172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843" i="7" s="1"/>
  <c r="F5041" i="1"/>
  <c r="G4323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42" i="7" s="1"/>
  <c r="F5137" i="1"/>
  <c r="G4068" i="7" s="1"/>
  <c r="F5173" i="1"/>
  <c r="G3341" i="7" s="1"/>
  <c r="F5130" i="1"/>
  <c r="F5007" i="1"/>
  <c r="G3913" i="7" s="1"/>
  <c r="F5085" i="1"/>
  <c r="G3215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857" i="7" s="1"/>
  <c r="F5169" i="1"/>
  <c r="G4071" i="7" s="1"/>
  <c r="F5256" i="1"/>
  <c r="G4020" i="7" s="1"/>
  <c r="F5193" i="1"/>
  <c r="G4019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30" i="7" s="1"/>
  <c r="F5158" i="1"/>
  <c r="G4282" i="7" s="1"/>
  <c r="F4981" i="1"/>
  <c r="G4408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017" i="7" s="1"/>
  <c r="F5272" i="1"/>
  <c r="G3938" i="7" s="1"/>
  <c r="F5138" i="1"/>
  <c r="G3937" i="7" s="1"/>
  <c r="F5153" i="1"/>
  <c r="G3894" i="7" s="1"/>
  <c r="F5196" i="1"/>
  <c r="G3856" i="7" s="1"/>
  <c r="F5229" i="1"/>
  <c r="G4074" i="7" s="1"/>
  <c r="F5206" i="1"/>
  <c r="G3268" i="7" s="1"/>
  <c r="F5225" i="1"/>
  <c r="G3909" i="7" s="1"/>
  <c r="F5068" i="1"/>
  <c r="G3633" i="7" s="1"/>
  <c r="F5141" i="1"/>
  <c r="G2253" i="7" s="1"/>
  <c r="F5185" i="1"/>
  <c r="F5187" i="1"/>
  <c r="F5211" i="1"/>
  <c r="G4069" i="7" s="1"/>
  <c r="F5261" i="1"/>
  <c r="G4018" i="7" s="1"/>
  <c r="F5274" i="1"/>
  <c r="G3617" i="7" s="1"/>
  <c r="F5248" i="1"/>
  <c r="G3959" i="7" s="1"/>
  <c r="F4995" i="1"/>
  <c r="G4409" i="7" s="1"/>
  <c r="F5214" i="1"/>
  <c r="G4389" i="7" s="1"/>
  <c r="F5224" i="1"/>
  <c r="G3577" i="7" s="1"/>
  <c r="F5231" i="1"/>
  <c r="F5232" i="1"/>
  <c r="G4167" i="7" s="1"/>
  <c r="F5230" i="1"/>
  <c r="G3929" i="7" s="1"/>
  <c r="F5244" i="1"/>
  <c r="G3924" i="7" s="1"/>
  <c r="F5249" i="1"/>
  <c r="F5258" i="1"/>
  <c r="F5239" i="1"/>
  <c r="F5199" i="1"/>
  <c r="F5253" i="1"/>
  <c r="F5262" i="1"/>
  <c r="F5267" i="1"/>
  <c r="G4303" i="7" s="1"/>
  <c r="F5006" i="1"/>
  <c r="F5120" i="1"/>
  <c r="F5329" i="1"/>
  <c r="G3623" i="7" s="1"/>
  <c r="F5149" i="1"/>
  <c r="G3624" i="7" s="1"/>
  <c r="F5191" i="1"/>
  <c r="G4388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349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089" i="7"/>
  <c r="H4090" i="7"/>
  <c r="H4091" i="7"/>
  <c r="H3698" i="7"/>
  <c r="H3713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3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4166" i="7" l="1"/>
  <c r="G3965" i="7"/>
  <c r="G4080" i="7"/>
  <c r="G4014" i="7"/>
  <c r="G4987" i="1"/>
  <c r="F4477" i="1"/>
  <c r="G4161" i="7"/>
  <c r="G4160" i="7"/>
  <c r="G3865" i="7"/>
  <c r="G4162" i="7"/>
  <c r="G3592" i="7"/>
  <c r="G3593" i="7"/>
  <c r="G4067" i="7"/>
  <c r="G3931" i="7"/>
  <c r="G3928" i="7"/>
  <c r="G4138" i="7"/>
  <c r="G4143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347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342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349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8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6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406" i="7"/>
  <c r="H4405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400" i="7"/>
  <c r="H4399" i="7"/>
  <c r="H4398" i="7"/>
  <c r="H4397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3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021" i="7"/>
  <c r="H4022" i="7"/>
  <c r="H4034" i="7"/>
  <c r="H4038" i="7"/>
  <c r="H4039" i="7"/>
  <c r="H3612" i="7"/>
  <c r="H3625" i="7"/>
  <c r="H3626" i="7"/>
  <c r="H3646" i="7"/>
  <c r="H364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378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362" i="7"/>
  <c r="H4352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773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256" i="7"/>
  <c r="H3773" i="7"/>
  <c r="H3774" i="7"/>
  <c r="H3775" i="7"/>
  <c r="H3776" i="7"/>
  <c r="J4110" i="1"/>
  <c r="M4637" i="1"/>
  <c r="L4637" i="1"/>
  <c r="J4637" i="1"/>
  <c r="M4077" i="1"/>
  <c r="M4173" i="1"/>
  <c r="J4171" i="1"/>
  <c r="M3985" i="1"/>
  <c r="G3985" i="1" s="1"/>
  <c r="J3985" i="1"/>
  <c r="G4251" i="7"/>
  <c r="H4251" i="7"/>
  <c r="H4252" i="7"/>
  <c r="H4253" i="7"/>
  <c r="J4309" i="1"/>
  <c r="J4478" i="1"/>
  <c r="F4478" i="1" s="1"/>
  <c r="J4837" i="1"/>
  <c r="F4837" i="1" s="1"/>
  <c r="H4214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19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7" i="7"/>
  <c r="F4228" i="7"/>
  <c r="F4227" i="7"/>
  <c r="F4226" i="7"/>
  <c r="F4225" i="7"/>
  <c r="G2467" i="7"/>
  <c r="G381" i="7"/>
  <c r="G743" i="7"/>
  <c r="G2627" i="7"/>
  <c r="G2626" i="7"/>
  <c r="G2526" i="7"/>
  <c r="G4252" i="7"/>
  <c r="G1474" i="7"/>
  <c r="G1476" i="7"/>
  <c r="G984" i="7"/>
  <c r="G3483" i="7"/>
  <c r="G1177" i="7"/>
  <c r="G1178" i="7"/>
  <c r="G3774" i="7"/>
  <c r="G3484" i="7"/>
  <c r="G3481" i="7"/>
  <c r="G1838" i="7"/>
  <c r="G4378" i="7"/>
  <c r="G2628" i="7"/>
  <c r="G2629" i="7"/>
  <c r="G1194" i="7"/>
  <c r="G1195" i="7"/>
  <c r="G3609" i="7"/>
  <c r="G3625" i="7"/>
  <c r="G825" i="7"/>
  <c r="G3736" i="7"/>
  <c r="G1473" i="7"/>
  <c r="G3775" i="7"/>
  <c r="G1841" i="7"/>
  <c r="G1840" i="7"/>
  <c r="G2466" i="7"/>
  <c r="G1123" i="7"/>
  <c r="G1196" i="7"/>
  <c r="G4399" i="7"/>
  <c r="G3647" i="7"/>
  <c r="G1737" i="7"/>
  <c r="G3776" i="7"/>
  <c r="G4405" i="7"/>
  <c r="G2821" i="7"/>
  <c r="G4021" i="7"/>
  <c r="G4038" i="7"/>
  <c r="G3612" i="7"/>
  <c r="G3384" i="7"/>
  <c r="G4397" i="7"/>
  <c r="G3638" i="7"/>
  <c r="G4146" i="7"/>
  <c r="G3626" i="7"/>
  <c r="G3661" i="7"/>
  <c r="G3658" i="7"/>
  <c r="G4256" i="7"/>
  <c r="G3486" i="7"/>
  <c r="G2966" i="7"/>
  <c r="G3054" i="7"/>
  <c r="G4148" i="7"/>
  <c r="G688" i="7"/>
  <c r="G1752" i="7"/>
  <c r="G2820" i="7"/>
  <c r="G3755" i="7"/>
  <c r="G1738" i="7"/>
  <c r="G3413" i="7"/>
  <c r="G3640" i="7"/>
  <c r="G3645" i="7"/>
  <c r="G53" i="7"/>
  <c r="G2422" i="7"/>
  <c r="G4367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090" i="7"/>
  <c r="G3679" i="7"/>
  <c r="G3759" i="7"/>
  <c r="G4089" i="7"/>
  <c r="G3698" i="7"/>
  <c r="G3694" i="7"/>
  <c r="G3742" i="7"/>
  <c r="G3749" i="7"/>
  <c r="G3741" i="7"/>
  <c r="G3746" i="7"/>
  <c r="G3632" i="7"/>
  <c r="G3631" i="7"/>
  <c r="G3618" i="7"/>
  <c r="G3758" i="7"/>
  <c r="G3756" i="7"/>
  <c r="G464" i="7"/>
  <c r="G4091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252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774" i="7" s="1"/>
  <c r="G4845" i="1"/>
  <c r="G4798" i="1"/>
  <c r="K3481" i="7" s="1"/>
  <c r="G4446" i="1"/>
  <c r="K1838" i="7" s="1"/>
  <c r="G4140" i="1"/>
  <c r="K4333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3775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399" i="7" s="1"/>
  <c r="G3922" i="1"/>
  <c r="K3647" i="7" s="1"/>
  <c r="G4857" i="1"/>
  <c r="G3884" i="1"/>
  <c r="G4177" i="1"/>
  <c r="G3958" i="1"/>
  <c r="K3776" i="7" s="1"/>
  <c r="G4880" i="1"/>
  <c r="K4398" i="7" s="1"/>
  <c r="G4883" i="1"/>
  <c r="G4884" i="1"/>
  <c r="G4444" i="1"/>
  <c r="K2821" i="7" s="1"/>
  <c r="G4405" i="1"/>
  <c r="G4209" i="1"/>
  <c r="G4208" i="1"/>
  <c r="K4021" i="7" s="1"/>
  <c r="G4211" i="1"/>
  <c r="K4038" i="7" s="1"/>
  <c r="G3919" i="1"/>
  <c r="K3612" i="7" s="1"/>
  <c r="G3828" i="1"/>
  <c r="G3948" i="1"/>
  <c r="G3949" i="1"/>
  <c r="G4740" i="1"/>
  <c r="K3384" i="7" s="1"/>
  <c r="G4885" i="1"/>
  <c r="G4844" i="1"/>
  <c r="G4879" i="1"/>
  <c r="K4397" i="7" s="1"/>
  <c r="G4187" i="1"/>
  <c r="K3638" i="7" s="1"/>
  <c r="G4188" i="1"/>
  <c r="G3787" i="1"/>
  <c r="G4236" i="1"/>
  <c r="G4235" i="1"/>
  <c r="G4749" i="1"/>
  <c r="G3920" i="1"/>
  <c r="K3626" i="7" s="1"/>
  <c r="G4100" i="1"/>
  <c r="G4124" i="1"/>
  <c r="K1424" i="7" s="1"/>
  <c r="G4192" i="1"/>
  <c r="G4197" i="1"/>
  <c r="K3661" i="7" s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8" i="7" s="1"/>
  <c r="G4257" i="1"/>
  <c r="G4487" i="1"/>
  <c r="G4176" i="1"/>
  <c r="G3807" i="1"/>
  <c r="G4449" i="1"/>
  <c r="K2820" i="7" s="1"/>
  <c r="G3788" i="1"/>
  <c r="G4005" i="1"/>
  <c r="K913" i="7" s="1"/>
  <c r="G4679" i="1"/>
  <c r="G3950" i="1"/>
  <c r="G4800" i="1"/>
  <c r="G4033" i="1"/>
  <c r="G4538" i="1"/>
  <c r="G4125" i="1"/>
  <c r="G4178" i="1"/>
  <c r="G4488" i="1"/>
  <c r="K1305" i="7" s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K3479" i="7" s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K745" i="7" s="1"/>
  <c r="G4377" i="1"/>
  <c r="K3759" i="7" s="1"/>
  <c r="G4374" i="1"/>
  <c r="K3760" i="7" s="1"/>
  <c r="G3810" i="1"/>
  <c r="G4230" i="1"/>
  <c r="G3944" i="1"/>
  <c r="G3943" i="1"/>
  <c r="K3698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K4349" i="7" s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251" i="7"/>
  <c r="K4256" i="7"/>
  <c r="K3773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378" i="7"/>
  <c r="K1196" i="7"/>
  <c r="K4022" i="7"/>
  <c r="K3625" i="7"/>
  <c r="K824" i="7"/>
  <c r="K826" i="7"/>
  <c r="K851" i="7"/>
  <c r="K53" i="7"/>
  <c r="K2529" i="7"/>
  <c r="K4400" i="7"/>
  <c r="K2423" i="7"/>
  <c r="K1736" i="7"/>
  <c r="K1737" i="7"/>
  <c r="K1738" i="7"/>
  <c r="K1752" i="7"/>
  <c r="K3055" i="7"/>
  <c r="K3115" i="7"/>
  <c r="K1735" i="7"/>
  <c r="K2815" i="7"/>
  <c r="K4405" i="7"/>
  <c r="K4406" i="7"/>
  <c r="K4146" i="7"/>
  <c r="K1295" i="7"/>
  <c r="K1307" i="7"/>
  <c r="K911" i="7"/>
  <c r="K912" i="7"/>
  <c r="K914" i="7"/>
  <c r="K687" i="7"/>
  <c r="K688" i="7"/>
  <c r="K3755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367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089" i="7"/>
  <c r="K4090" i="7"/>
  <c r="K4091" i="7"/>
  <c r="K3713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3718" i="7"/>
  <c r="K3719" i="7"/>
  <c r="K3720" i="7"/>
  <c r="K3946" i="7"/>
  <c r="K3950" i="7"/>
  <c r="K3635" i="7"/>
  <c r="K4342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347" i="7"/>
  <c r="K751" i="7"/>
  <c r="K752" i="7"/>
  <c r="K815" i="7"/>
  <c r="K852" i="7"/>
  <c r="K4186" i="7"/>
  <c r="K4187" i="7"/>
  <c r="K4196" i="7"/>
  <c r="K4201" i="7"/>
  <c r="K3601" i="7"/>
  <c r="K3699" i="7"/>
  <c r="K3700" i="7"/>
  <c r="K3701" i="7"/>
  <c r="K3704" i="7"/>
  <c r="K2465" i="7"/>
  <c r="K2528" i="7"/>
  <c r="K2538" i="7"/>
  <c r="K2539" i="7"/>
  <c r="K3922" i="7"/>
  <c r="K4124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247" i="7"/>
  <c r="K4248" i="7"/>
  <c r="K4249" i="7"/>
  <c r="K4250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576" i="7"/>
  <c r="K1624" i="7"/>
  <c r="K1625" i="7"/>
  <c r="K1626" i="7"/>
  <c r="K4323" i="7"/>
  <c r="K4324" i="7"/>
  <c r="K4325" i="7"/>
  <c r="K4326" i="7"/>
  <c r="K4343" i="7"/>
  <c r="K4351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407" i="7"/>
  <c r="K4172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42" i="7"/>
  <c r="K3843" i="7"/>
  <c r="K3856" i="7"/>
  <c r="K3857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173" i="7"/>
  <c r="K3766" i="7"/>
  <c r="K2253" i="7"/>
  <c r="K2255" i="7"/>
  <c r="K3214" i="7"/>
  <c r="K3215" i="7"/>
  <c r="K4138" i="7"/>
  <c r="K4017" i="7"/>
  <c r="K4018" i="7"/>
  <c r="K4019" i="7"/>
  <c r="K4020" i="7"/>
  <c r="K3937" i="7"/>
  <c r="K3938" i="7"/>
  <c r="K3939" i="7"/>
  <c r="K3940" i="7"/>
  <c r="K3941" i="7"/>
  <c r="K3942" i="7"/>
  <c r="K4280" i="7"/>
  <c r="K4281" i="7"/>
  <c r="K4282" i="7"/>
  <c r="K3928" i="7"/>
  <c r="K3929" i="7"/>
  <c r="K3930" i="7"/>
  <c r="K3931" i="7"/>
  <c r="K4408" i="7"/>
  <c r="K4075" i="7"/>
  <c r="K4076" i="7"/>
  <c r="K4143" i="7"/>
  <c r="K4144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6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389" i="7"/>
  <c r="K4388" i="7"/>
  <c r="K4160" i="7"/>
  <c r="K4161" i="7"/>
  <c r="K4162" i="7"/>
  <c r="K4151" i="7"/>
  <c r="K4152" i="7"/>
  <c r="K4153" i="7"/>
  <c r="K4082" i="7"/>
  <c r="K4083" i="7"/>
  <c r="K3577" i="7"/>
  <c r="K3592" i="7"/>
  <c r="K3593" i="7"/>
  <c r="K4167" i="7"/>
  <c r="K4170" i="7"/>
  <c r="K3575" i="7"/>
  <c r="K3576" i="7"/>
  <c r="K4013" i="7"/>
  <c r="K4014" i="7"/>
  <c r="K4015" i="7"/>
  <c r="K4016" i="7"/>
  <c r="K4409" i="7"/>
  <c r="K4166" i="7"/>
  <c r="K4303" i="7"/>
  <c r="K4304" i="7"/>
  <c r="K4305" i="7"/>
  <c r="K4306" i="7"/>
  <c r="K4023" i="7"/>
  <c r="K4024" i="7"/>
  <c r="K4025" i="7"/>
  <c r="K4026" i="7"/>
  <c r="K4027" i="7"/>
  <c r="K4028" i="7"/>
  <c r="K4029" i="7"/>
  <c r="K4030" i="7"/>
  <c r="K4171" i="7"/>
  <c r="K4185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279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278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955" i="7"/>
  <c r="G3955" i="7"/>
  <c r="H3954" i="7"/>
  <c r="H3953" i="7"/>
  <c r="H3952" i="7"/>
  <c r="G395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4007" i="7"/>
  <c r="G4007" i="7"/>
  <c r="H4006" i="7"/>
  <c r="G4006" i="7"/>
  <c r="H4005" i="7"/>
  <c r="H4004" i="7"/>
  <c r="G4004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4" i="7"/>
  <c r="H4223" i="7"/>
  <c r="H4222" i="7"/>
  <c r="G4222" i="7"/>
  <c r="H4221" i="7"/>
  <c r="H4220" i="7"/>
  <c r="H4228" i="7"/>
  <c r="H4226" i="7"/>
  <c r="H4225" i="7"/>
  <c r="G4225" i="7"/>
  <c r="H4218" i="7"/>
  <c r="H4217" i="7"/>
  <c r="H4216" i="7"/>
  <c r="H4215" i="7"/>
  <c r="H4210" i="7"/>
  <c r="H4211" i="7"/>
  <c r="H4212" i="7"/>
  <c r="H4213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0" i="7"/>
  <c r="H4199" i="7"/>
  <c r="H4198" i="7"/>
  <c r="H4197" i="7"/>
  <c r="G4197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8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2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1" i="7" s="1"/>
  <c r="F4840" i="1"/>
  <c r="F3781" i="1"/>
  <c r="F4092" i="1"/>
  <c r="F3993" i="1"/>
  <c r="G1081" i="7" s="1"/>
  <c r="F4309" i="1"/>
  <c r="G4219" i="7" s="1"/>
  <c r="F4242" i="1"/>
  <c r="F4733" i="1"/>
  <c r="G2918" i="7" s="1"/>
  <c r="F4738" i="1"/>
  <c r="F4916" i="1"/>
  <c r="F4597" i="1"/>
  <c r="F4073" i="1"/>
  <c r="F4956" i="1"/>
  <c r="G443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0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431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253" i="7"/>
  <c r="G3713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406" i="7"/>
  <c r="G10" i="7"/>
  <c r="G3659" i="7"/>
  <c r="G4076" i="1"/>
  <c r="G3515" i="7"/>
  <c r="G4022" i="7"/>
  <c r="K3583" i="7"/>
  <c r="G1254" i="7"/>
  <c r="G3383" i="7"/>
  <c r="G4253" i="7"/>
  <c r="G1839" i="7"/>
  <c r="G1584" i="7"/>
  <c r="G4400" i="7"/>
  <c r="G4398" i="7"/>
  <c r="G980" i="7"/>
  <c r="G3982" i="1"/>
  <c r="K4214" i="7"/>
  <c r="K1839" i="7"/>
  <c r="G2254" i="7"/>
  <c r="K980" i="7"/>
  <c r="G4214" i="7"/>
  <c r="G3582" i="7"/>
  <c r="G3583" i="7"/>
  <c r="G3517" i="7"/>
  <c r="G3954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6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0" i="7"/>
  <c r="F4181" i="7"/>
  <c r="F4183" i="7"/>
  <c r="F4182" i="7"/>
  <c r="F4179" i="7"/>
  <c r="H4182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322" i="7"/>
  <c r="H4319" i="7"/>
  <c r="H4320" i="7"/>
  <c r="H4321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3" i="7"/>
  <c r="H4181" i="7"/>
  <c r="H4180" i="7"/>
  <c r="H4179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4068" i="1" l="1"/>
  <c r="F3977" i="1"/>
  <c r="F4117" i="1"/>
  <c r="F3870" i="1"/>
  <c r="F4218" i="1"/>
  <c r="F4912" i="1"/>
  <c r="F3833" i="1"/>
  <c r="F4536" i="1"/>
  <c r="G3613" i="7" s="1"/>
  <c r="F4154" i="1"/>
  <c r="F4953" i="1"/>
  <c r="G4430" i="7" s="1"/>
  <c r="F4589" i="1"/>
  <c r="F4598" i="1"/>
  <c r="F3938" i="1"/>
  <c r="F4915" i="1"/>
  <c r="F4438" i="1"/>
  <c r="F4954" i="1"/>
  <c r="G4432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432" i="7"/>
  <c r="F4431" i="7"/>
  <c r="F4435" i="7"/>
  <c r="H4176" i="7"/>
  <c r="F4176" i="7"/>
  <c r="H4177" i="7"/>
  <c r="F4177" i="7"/>
  <c r="H4175" i="7"/>
  <c r="F4175" i="7"/>
  <c r="H4174" i="7"/>
  <c r="F4174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430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L3771" i="1"/>
  <c r="J3771" i="1"/>
  <c r="L4434" i="1"/>
  <c r="J4434" i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34" i="1" l="1"/>
  <c r="F3775" i="1"/>
  <c r="F4465" i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163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7" i="7"/>
  <c r="K4200" i="7"/>
  <c r="K4225" i="7"/>
  <c r="K4226" i="7"/>
  <c r="K4221" i="7"/>
  <c r="K4222" i="7"/>
  <c r="K4004" i="7"/>
  <c r="K4006" i="7"/>
  <c r="K4007" i="7"/>
  <c r="K2918" i="7"/>
  <c r="K2919" i="7"/>
  <c r="K2709" i="7"/>
  <c r="K2710" i="7"/>
  <c r="K1533" i="7"/>
  <c r="K1536" i="7"/>
  <c r="K1684" i="7"/>
  <c r="K1685" i="7"/>
  <c r="K3952" i="7"/>
  <c r="K3954" i="7"/>
  <c r="K3955" i="7"/>
  <c r="K4219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366" i="7"/>
  <c r="H4365" i="7"/>
  <c r="H4364" i="7"/>
  <c r="G4364" i="7"/>
  <c r="H43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163" i="7"/>
  <c r="G1174" i="7"/>
  <c r="G993" i="7"/>
  <c r="G994" i="7"/>
  <c r="G2381" i="7"/>
  <c r="G1469" i="7"/>
  <c r="G2622" i="7"/>
  <c r="G3903" i="7"/>
  <c r="G3908" i="7"/>
  <c r="G1587" i="7"/>
  <c r="G1193" i="7"/>
  <c r="G2509" i="7"/>
  <c r="G43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4" i="7"/>
  <c r="G4175" i="7"/>
  <c r="G1829" i="7"/>
  <c r="G1753" i="7"/>
  <c r="G2847" i="7"/>
  <c r="G2965" i="7"/>
  <c r="G4182" i="7"/>
  <c r="G209" i="7"/>
  <c r="G4180" i="7"/>
  <c r="G2644" i="7"/>
  <c r="G4319" i="7"/>
  <c r="G1391" i="7"/>
  <c r="G1895" i="7"/>
  <c r="G3401" i="7"/>
  <c r="G1596" i="7"/>
  <c r="G1507" i="7"/>
  <c r="G1315" i="7"/>
  <c r="G1025" i="7"/>
  <c r="G2645" i="7"/>
  <c r="G197" i="7"/>
  <c r="G1394" i="7"/>
  <c r="G3394" i="7"/>
  <c r="G4179" i="7"/>
  <c r="G4181" i="7"/>
  <c r="G1894" i="7"/>
  <c r="G3395" i="7"/>
  <c r="G2959" i="7"/>
  <c r="G3405" i="7"/>
  <c r="G4177" i="7"/>
  <c r="G1968" i="7"/>
  <c r="G1659" i="7"/>
  <c r="G689" i="7"/>
  <c r="G2898" i="7"/>
  <c r="G2899" i="7"/>
  <c r="G4183" i="7"/>
  <c r="G2672" i="7"/>
  <c r="G1510" i="7"/>
  <c r="G4322" i="7"/>
  <c r="G1969" i="7"/>
  <c r="G368" i="7"/>
  <c r="G366" i="7"/>
  <c r="G1023" i="7"/>
  <c r="G1024" i="7"/>
  <c r="G1314" i="7"/>
  <c r="G1116" i="7"/>
  <c r="G4178" i="7"/>
  <c r="G1325" i="7"/>
  <c r="G2403" i="7"/>
  <c r="G2671" i="7"/>
  <c r="G196" i="7"/>
  <c r="G1393" i="7"/>
  <c r="G1661" i="7"/>
  <c r="G2928" i="7"/>
  <c r="G2957" i="7"/>
  <c r="G1327" i="7"/>
  <c r="G694" i="7"/>
  <c r="G4176" i="7"/>
  <c r="G2900" i="7"/>
  <c r="G2901" i="7"/>
  <c r="G1051" i="7"/>
  <c r="G1833" i="7"/>
  <c r="G1509" i="7"/>
  <c r="G4320" i="7"/>
  <c r="G1508" i="7"/>
  <c r="G1326" i="7"/>
  <c r="G1971" i="7"/>
  <c r="G376" i="7"/>
  <c r="G374" i="7"/>
  <c r="G1253" i="7"/>
  <c r="G4198" i="7"/>
  <c r="G4321" i="7"/>
  <c r="G4220" i="7"/>
  <c r="G1662" i="7"/>
  <c r="G4210" i="7"/>
  <c r="G4212" i="7"/>
  <c r="G4216" i="7"/>
  <c r="G4217" i="7"/>
  <c r="G1328" i="7"/>
  <c r="G1050" i="7"/>
  <c r="G3795" i="7"/>
  <c r="G3610" i="7"/>
  <c r="G4279" i="7"/>
  <c r="G4211" i="7"/>
  <c r="G4213" i="7"/>
  <c r="G1425" i="7"/>
  <c r="G1079" i="7"/>
  <c r="G4039" i="7"/>
  <c r="G1430" i="7"/>
  <c r="G595" i="7"/>
  <c r="G3969" i="7"/>
  <c r="G4227" i="7"/>
  <c r="G2235" i="7"/>
  <c r="G1534" i="7"/>
  <c r="G1535" i="7"/>
  <c r="G3487" i="7"/>
  <c r="G4005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163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430" i="7" s="1"/>
  <c r="G4907" i="1"/>
  <c r="K4174" i="7" s="1"/>
  <c r="G4909" i="1"/>
  <c r="K4175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2" i="7" s="1"/>
  <c r="G4072" i="1"/>
  <c r="K209" i="7" s="1"/>
  <c r="G4915" i="1"/>
  <c r="K4180" i="7" s="1"/>
  <c r="G4619" i="1"/>
  <c r="K2644" i="7" s="1"/>
  <c r="G4703" i="1"/>
  <c r="K4319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432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79" i="7" s="1"/>
  <c r="G4916" i="1"/>
  <c r="K4181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7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3" i="7" s="1"/>
  <c r="G4073" i="1"/>
  <c r="G4613" i="1"/>
  <c r="K2672" i="7" s="1"/>
  <c r="G4157" i="1"/>
  <c r="K1510" i="7" s="1"/>
  <c r="G4704" i="1"/>
  <c r="K4322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435" i="7" s="1"/>
  <c r="G4032" i="1"/>
  <c r="K1116" i="7" s="1"/>
  <c r="G4908" i="1"/>
  <c r="K4178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6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320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8" i="7" s="1"/>
  <c r="G4600" i="1"/>
  <c r="G4394" i="1"/>
  <c r="G4393" i="1"/>
  <c r="G4706" i="1"/>
  <c r="K4321" i="7" s="1"/>
  <c r="G4919" i="1"/>
  <c r="K4220" i="7" s="1"/>
  <c r="G4917" i="1"/>
  <c r="G4250" i="1"/>
  <c r="K1662" i="7" s="1"/>
  <c r="G3874" i="1"/>
  <c r="G4893" i="1"/>
  <c r="K4210" i="7" s="1"/>
  <c r="G4892" i="1"/>
  <c r="K4212" i="7" s="1"/>
  <c r="G4602" i="1"/>
  <c r="K4216" i="7"/>
  <c r="G4903" i="1"/>
  <c r="K4217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1" i="7" s="1"/>
  <c r="G4895" i="1"/>
  <c r="K4213" i="7" s="1"/>
  <c r="G4122" i="1"/>
  <c r="K1425" i="7" s="1"/>
  <c r="G4034" i="1"/>
  <c r="G3984" i="1"/>
  <c r="K1079" i="7" s="1"/>
  <c r="K1049" i="7"/>
  <c r="K1052" i="7"/>
  <c r="G3902" i="1"/>
  <c r="G5058" i="1"/>
  <c r="K4147" i="7" s="1"/>
  <c r="G4799" i="1"/>
  <c r="G4590" i="1"/>
  <c r="G4839" i="1"/>
  <c r="G4795" i="1"/>
  <c r="G4207" i="1"/>
  <c r="K4039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7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4005" i="7" l="1"/>
  <c r="K4332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352" i="7"/>
  <c r="G3646" i="7"/>
  <c r="K4352" i="7"/>
  <c r="K3646" i="7"/>
  <c r="K4362" i="7"/>
  <c r="K4034" i="7"/>
  <c r="G4362" i="7"/>
  <c r="G4034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99" i="7"/>
  <c r="G3953" i="7"/>
  <c r="K1683" i="7"/>
  <c r="K4228" i="7"/>
  <c r="K2282" i="7"/>
  <c r="K3953" i="7"/>
  <c r="K593" i="7"/>
  <c r="G4218" i="7"/>
  <c r="G210" i="7"/>
  <c r="G695" i="7"/>
  <c r="G3398" i="7"/>
  <c r="G2282" i="7"/>
  <c r="K4218" i="7"/>
  <c r="K210" i="7"/>
  <c r="K3968" i="7"/>
  <c r="G4215" i="7"/>
  <c r="G1252" i="7"/>
  <c r="K4215" i="7"/>
  <c r="K4199" i="7"/>
  <c r="K1252" i="7"/>
  <c r="K4224" i="7"/>
  <c r="K1756" i="7"/>
  <c r="G1683" i="7"/>
  <c r="G4223" i="7"/>
  <c r="G3968" i="7"/>
  <c r="G593" i="7"/>
  <c r="K4223" i="7"/>
  <c r="K695" i="7"/>
  <c r="K3398" i="7"/>
  <c r="G4228" i="7"/>
  <c r="G4224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431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364" i="7"/>
  <c r="K43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361" i="7"/>
  <c r="H4353" i="7"/>
  <c r="G4359" i="7"/>
  <c r="H4359" i="7"/>
  <c r="G4360" i="7"/>
  <c r="H4360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38" i="7"/>
  <c r="G3839" i="7"/>
  <c r="H3839" i="7"/>
  <c r="G3840" i="7"/>
  <c r="H3840" i="7"/>
  <c r="G3841" i="7"/>
  <c r="H3841" i="7"/>
  <c r="J4872" i="1"/>
  <c r="F4872" i="1" s="1"/>
  <c r="J4145" i="1"/>
  <c r="J4293" i="1"/>
  <c r="F4293" i="1" s="1"/>
  <c r="K2123" i="7" l="1"/>
  <c r="G2123" i="7"/>
  <c r="H1585" i="7"/>
  <c r="H3787" i="7"/>
  <c r="H3788" i="7"/>
  <c r="G3789" i="7"/>
  <c r="H3789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381" i="7"/>
  <c r="G4381" i="7"/>
  <c r="H4380" i="7"/>
  <c r="G4380" i="7"/>
  <c r="H4379" i="7"/>
  <c r="G4379" i="7"/>
  <c r="H4382" i="7"/>
  <c r="G4382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105" i="7"/>
  <c r="G4105" i="7"/>
  <c r="H4040" i="7"/>
  <c r="G4040" i="7"/>
  <c r="H3409" i="7"/>
  <c r="H3407" i="7"/>
  <c r="H3408" i="7"/>
  <c r="H3406" i="7"/>
  <c r="H4061" i="7"/>
  <c r="G4061" i="7"/>
  <c r="H3721" i="7"/>
  <c r="G3721" i="7"/>
  <c r="H3696" i="7"/>
  <c r="G3696" i="7"/>
  <c r="H3697" i="7"/>
  <c r="G3697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207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277" i="7"/>
  <c r="H4277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627" i="7"/>
  <c r="H1627" i="7"/>
  <c r="K1627" i="7"/>
  <c r="G2109" i="7"/>
  <c r="H2109" i="7"/>
  <c r="K2109" i="7"/>
  <c r="H2233" i="7"/>
  <c r="G2234" i="7"/>
  <c r="H2234" i="7"/>
  <c r="K2234" i="7"/>
  <c r="G829" i="7"/>
  <c r="H829" i="7"/>
  <c r="K829" i="7"/>
  <c r="H830" i="7"/>
  <c r="H831" i="7"/>
  <c r="H832" i="7"/>
  <c r="H3343" i="7"/>
  <c r="G3344" i="7"/>
  <c r="H3344" i="7"/>
  <c r="K3344" i="7"/>
  <c r="G3410" i="7"/>
  <c r="H3410" i="7"/>
  <c r="K3410" i="7"/>
  <c r="G3414" i="7"/>
  <c r="H3414" i="7"/>
  <c r="K3414" i="7"/>
  <c r="H643" i="7"/>
  <c r="H640" i="7"/>
  <c r="G641" i="7"/>
  <c r="H641" i="7"/>
  <c r="K641" i="7"/>
  <c r="G642" i="7"/>
  <c r="H642" i="7"/>
  <c r="K642" i="7"/>
  <c r="H3524" i="7"/>
  <c r="H426" i="7"/>
  <c r="H427" i="7"/>
  <c r="H425" i="7"/>
  <c r="H428" i="7"/>
  <c r="H3525" i="7"/>
  <c r="H3567" i="7"/>
  <c r="G3568" i="7"/>
  <c r="H3568" i="7"/>
  <c r="K3568" i="7"/>
  <c r="H3574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G3936" i="7"/>
  <c r="H3936" i="7"/>
  <c r="K3936" i="7"/>
  <c r="G3943" i="7"/>
  <c r="H3943" i="7"/>
  <c r="K3943" i="7"/>
  <c r="G3944" i="7"/>
  <c r="H3944" i="7"/>
  <c r="K3944" i="7"/>
  <c r="G3945" i="7"/>
  <c r="H3945" i="7"/>
  <c r="K3945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204" i="7"/>
  <c r="H4205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206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277" i="7"/>
  <c r="K2440" i="7"/>
  <c r="K2981" i="7"/>
  <c r="K2896" i="7"/>
  <c r="K2897" i="7"/>
  <c r="K2904" i="7"/>
  <c r="K1289" i="7"/>
  <c r="K2536" i="7"/>
  <c r="K3428" i="7"/>
  <c r="K3772" i="7"/>
  <c r="K3767" i="7"/>
  <c r="K3697" i="7"/>
  <c r="K3696" i="7"/>
  <c r="K3721" i="7"/>
  <c r="K4061" i="7"/>
  <c r="K4040" i="7"/>
  <c r="K4105" i="7"/>
  <c r="K370" i="7"/>
  <c r="K371" i="7"/>
  <c r="K1925" i="7"/>
  <c r="K4382" i="7"/>
  <c r="K4379" i="7"/>
  <c r="K4380" i="7"/>
  <c r="K4381" i="7"/>
  <c r="K1449" i="7"/>
  <c r="K1450" i="7"/>
  <c r="K203" i="7"/>
  <c r="K3789" i="7"/>
  <c r="K3839" i="7"/>
  <c r="K3840" i="7"/>
  <c r="K3841" i="7"/>
  <c r="K4359" i="7"/>
  <c r="K4360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205" i="7"/>
  <c r="G3538" i="7"/>
  <c r="G1132" i="7"/>
  <c r="G2495" i="7"/>
  <c r="G3542" i="7"/>
  <c r="G2496" i="7"/>
  <c r="G2721" i="7"/>
  <c r="G354" i="7"/>
  <c r="G3525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206" i="7"/>
  <c r="G334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567" i="7"/>
  <c r="G278" i="7"/>
  <c r="G1285" i="7"/>
  <c r="G2439" i="7"/>
  <c r="G2706" i="7"/>
  <c r="G2320" i="7"/>
  <c r="G2980" i="7"/>
  <c r="G1189" i="7"/>
  <c r="G2990" i="7"/>
  <c r="G2034" i="7"/>
  <c r="G4207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38" i="7"/>
  <c r="G2036" i="7"/>
  <c r="G3298" i="7"/>
  <c r="G3788" i="7"/>
  <c r="G1290" i="7"/>
  <c r="G2213" i="7"/>
  <c r="G3787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205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525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34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788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787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38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278" i="7"/>
  <c r="K4279" i="7"/>
  <c r="G4278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366" i="7"/>
  <c r="G3748" i="7"/>
  <c r="G4353" i="7"/>
  <c r="G3743" i="7"/>
  <c r="K1249" i="7"/>
  <c r="G4363" i="7"/>
  <c r="G3747" i="7"/>
  <c r="G1249" i="7"/>
  <c r="K4366" i="7"/>
  <c r="K3748" i="7"/>
  <c r="K4353" i="7"/>
  <c r="K3743" i="7"/>
  <c r="K4363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574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574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361" i="7"/>
  <c r="G338" i="7"/>
  <c r="K43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206" i="7"/>
  <c r="K23" i="7"/>
  <c r="K1109" i="7"/>
  <c r="K1490" i="7"/>
  <c r="K2439" i="7"/>
  <c r="K2486" i="7"/>
  <c r="K2923" i="7"/>
  <c r="K25" i="7"/>
  <c r="K3541" i="7"/>
  <c r="K2992" i="7"/>
  <c r="K4207" i="7"/>
  <c r="K2378" i="7"/>
  <c r="K2922" i="7"/>
  <c r="K24" i="7"/>
  <c r="K2496" i="7"/>
  <c r="K3128" i="7"/>
  <c r="K816" i="7"/>
  <c r="K2211" i="7"/>
  <c r="K3567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204" i="7"/>
  <c r="K2264" i="7"/>
  <c r="G2445" i="7"/>
  <c r="G343" i="7"/>
  <c r="G2494" i="7"/>
  <c r="G1337" i="7"/>
  <c r="G1731" i="7"/>
  <c r="G4204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0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0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223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223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524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524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<sst xmlns="http://schemas.openxmlformats.org/spreadsheetml/2006/main" count="39926" uniqueCount="2809">
  <si>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</si>
  <si>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</si>
  <si>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</si>
  <si>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</si>
  <si>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</si>
  <si>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</si>
  <si>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</si>
  <si>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</si>
  <si>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</si>
  <si>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</si>
  <si>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</si>
  <si>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</si>
  <si>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</si>
  <si>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</si>
  <si>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</si>
  <si>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</si>
  <si>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</si>
  <si>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</si>
  <si>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</si>
  <si>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</si>
  <si>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</si>
  <si>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</si>
  <si>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</si>
  <si>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</si>
  <si>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</si>
  <si>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</si>
  <si>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</si>
  <si>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</si>
  <si>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</si>
  <si>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</si>
  <si>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</si>
  <si>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</si>
  <si>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</si>
  <si>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</si>
  <si>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</si>
  <si>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</si>
  <si>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</si>
  <si>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</si>
  <si>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</si>
  <si>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</si>
  <si>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</si>
  <si>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</si>
  <si>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</si>
  <si>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</si>
  <si>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</si>
  <si>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</si>
  <si>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</si>
  <si>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</si>
  <si>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</si>
  <si>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</si>
  <si>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</si>
  <si>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</si>
  <si>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</si>
  <si>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</si>
  <si>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</si>
  <si>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</si>
  <si>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</si>
  <si>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</si>
  <si>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</si>
  <si>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</si>
  <si>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</si>
  <si>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</si>
  <si>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</si>
  <si>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</si>
  <si>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</si>
  <si>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</si>
  <si>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</si>
  <si>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</si>
  <si>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</si>
  <si>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</si>
  <si>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</si>
  <si>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</si>
  <si>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</si>
  <si>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</si>
  <si>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</si>
  <si>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</si>
  <si>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</si>
  <si>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</si>
  <si>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</si>
  <si>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</si>
  <si>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</si>
  <si>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</si>
  <si>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</si>
  <si>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</si>
  <si>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</si>
  <si>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</si>
  <si>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</si>
  <si>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</si>
  <si>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</si>
  <si>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</si>
  <si>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</si>
  <si>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</si>
  <si>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</si>
  <si>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</si>
  <si>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</si>
  <si>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</si>
  <si>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</si>
  <si>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</si>
  <si>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</si>
  <si>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</si>
  <si>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</si>
  <si>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</si>
  <si>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</si>
  <si>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</si>
  <si>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</si>
  <si>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</si>
  <si>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</si>
  <si>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</si>
  <si>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</si>
  <si>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</si>
  <si>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</si>
  <si>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</si>
  <si>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</si>
  <si>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</si>
  <si>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</si>
  <si>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</si>
  <si>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</si>
  <si>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</si>
  <si>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</si>
  <si>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</si>
  <si>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</si>
  <si>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</si>
  <si>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</si>
  <si>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</si>
  <si>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</si>
  <si>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</si>
  <si>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</si>
  <si>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</si>
  <si>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</si>
  <si>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</si>
  <si>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</si>
  <si>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</si>
  <si>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</si>
  <si>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</si>
  <si>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</si>
  <si>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</si>
  <si>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</si>
  <si>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</si>
  <si>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</si>
  <si>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</si>
  <si>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</si>
  <si>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</si>
  <si>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</si>
  <si>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</si>
  <si>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</si>
  <si>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</si>
  <si>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</si>
  <si>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</si>
  <si>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</si>
  <si>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</si>
  <si>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</si>
  <si>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</si>
  <si>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</si>
  <si>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</si>
  <si>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</si>
  <si>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</si>
  <si>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</si>
  <si>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</si>
  <si>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</si>
  <si>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</si>
  <si>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</si>
  <si>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</si>
  <si>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</si>
  <si>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</si>
  <si>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</si>
  <si>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</si>
  <si>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</si>
  <si>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</si>
  <si>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</si>
  <si>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</si>
  <si>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</si>
  <si>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</si>
  <si>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</si>
  <si>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</si>
  <si>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</si>
  <si>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</si>
  <si>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</si>
  <si>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</si>
  <si>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</si>
  <si>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</si>
  <si>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</si>
  <si>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</si>
  <si>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</si>
  <si>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</si>
  <si>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</si>
  <si>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</si>
  <si>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</si>
  <si>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</si>
  <si>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</si>
  <si>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</si>
  <si>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</si>
  <si>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</si>
  <si>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</si>
  <si>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</si>
  <si>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</si>
  <si>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</si>
  <si>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</si>
  <si>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</si>
  <si>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</si>
  <si>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</si>
  <si>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</si>
  <si>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</si>
  <si>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</si>
  <si>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</si>
  <si>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</si>
  <si>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</si>
  <si>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</si>
  <si>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</si>
  <si>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</si>
  <si>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</si>
  <si>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</si>
  <si>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</si>
  <si>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</si>
  <si>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</si>
  <si>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</si>
  <si>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</si>
  <si>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</si>
  <si>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</si>
  <si>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</si>
  <si>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</si>
  <si>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</si>
  <si>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</si>
  <si>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</si>
  <si>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</si>
  <si>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</si>
  <si>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</si>
  <si>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</si>
  <si>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</si>
  <si>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</si>
  <si>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</si>
  <si>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</si>
  <si>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</si>
  <si>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</si>
  <si>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</si>
  <si>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</si>
  <si>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</si>
  <si>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</si>
  <si>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</si>
  <si>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</si>
  <si>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</si>
  <si>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</si>
  <si>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</si>
  <si>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</si>
  <si>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</si>
  <si>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</si>
  <si>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</si>
  <si>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</si>
  <si>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</si>
  <si>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</si>
  <si>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</si>
  <si>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</si>
  <si>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</si>
  <si>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</si>
  <si>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</si>
  <si>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</si>
  <si>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</si>
  <si>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</si>
  <si>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</si>
  <si>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</si>
  <si>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</si>
  <si>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</si>
  <si>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</si>
  <si>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</si>
  <si>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</si>
  <si>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</si>
  <si>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</si>
  <si>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</si>
  <si>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</si>
  <si>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</si>
  <si>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</si>
  <si>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</si>
  <si>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</si>
  <si>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</si>
  <si>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</si>
  <si>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</si>
  <si>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</si>
  <si>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</si>
  <si>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</si>
  <si>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</si>
  <si>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</si>
  <si>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</si>
  <si>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</si>
  <si>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</si>
  <si>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</si>
  <si>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</si>
  <si>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</si>
  <si>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</si>
  <si>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</si>
  <si>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</si>
  <si>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</si>
  <si>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</si>
  <si>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</si>
  <si>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</si>
  <si>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</si>
  <si>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</si>
  <si>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</si>
  <si>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</si>
  <si>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</si>
  <si>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</si>
  <si>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</si>
  <si>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</si>
  <si>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</si>
  <si>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</si>
  <si>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</si>
  <si>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</si>
  <si>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</si>
  <si>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</si>
  <si>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</si>
  <si>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</si>
  <si>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</si>
  <si>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</si>
  <si>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</si>
  <si>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</si>
  <si>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</si>
  <si>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</si>
  <si>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</si>
  <si>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</si>
  <si>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</si>
  <si>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</si>
  <si>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</si>
  <si>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</si>
  <si>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</si>
  <si>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</si>
  <si>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</si>
  <si>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</si>
  <si>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</si>
  <si>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</si>
  <si>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</si>
  <si>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</si>
  <si>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</si>
  <si>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</si>
  <si>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</si>
  <si>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</si>
  <si>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</si>
  <si>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</si>
  <si>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</si>
  <si>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</si>
  <si>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</si>
  <si>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</si>
  <si>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</si>
  <si>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</si>
  <si>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</si>
  <si>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</si>
  <si>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</si>
  <si>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</si>
  <si>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</si>
  <si>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</si>
  <si>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</si>
  <si>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</si>
  <si>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</si>
  <si>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</si>
  <si>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</si>
  <si>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</si>
  <si>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</si>
  <si>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</si>
  <si>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</si>
  <si>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</si>
  <si>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</si>
  <si>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</si>
  <si>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</si>
  <si>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</si>
  <si>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</si>
  <si>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</si>
  <si>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</si>
  <si>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</si>
  <si>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</si>
  <si>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</si>
  <si>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</si>
  <si>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</si>
  <si>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</si>
  <si>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</si>
  <si>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</si>
  <si>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</si>
  <si>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</si>
  <si>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</si>
  <si>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</si>
  <si>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</si>
  <si>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</si>
  <si>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</si>
  <si>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</si>
  <si>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</si>
  <si>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</si>
  <si>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</si>
  <si>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</si>
  <si>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</si>
  <si>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</si>
  <si>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</si>
  <si>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</si>
  <si>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</si>
  <si>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</si>
  <si>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</si>
  <si>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</si>
  <si>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</si>
  <si>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</si>
  <si>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</si>
  <si>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</si>
  <si>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</si>
  <si>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</si>
  <si>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</si>
  <si>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</si>
  <si>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</si>
  <si>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</si>
  <si>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</si>
  <si>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</si>
  <si>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</si>
  <si>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</si>
  <si>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</si>
  <si>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</si>
  <si>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</si>
  <si>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</si>
  <si>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</si>
  <si>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</si>
  <si>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</si>
  <si>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</si>
  <si>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</si>
  <si>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</si>
  <si>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</si>
  <si>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</si>
  <si>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</si>
  <si>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</si>
  <si>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</si>
  <si>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</si>
  <si>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</si>
  <si>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</si>
  <si>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</si>
  <si>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</si>
  <si>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</si>
  <si>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</si>
  <si>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</si>
  <si>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</si>
  <si>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</si>
  <si>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</si>
  <si>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</si>
  <si>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</si>
  <si>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</si>
  <si>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</si>
  <si>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</si>
  <si>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</si>
  <si>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</si>
  <si>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</si>
  <si>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</si>
  <si>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</si>
  <si>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</si>
  <si>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</si>
  <si>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</si>
  <si>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</si>
  <si>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</si>
  <si>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</si>
  <si>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</si>
  <si>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</si>
  <si>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</si>
  <si>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</si>
  <si>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</si>
  <si>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</si>
  <si>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</si>
  <si>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</si>
  <si>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</si>
  <si>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</si>
  <si>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</si>
  <si>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</si>
  <si>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</si>
  <si>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</si>
  <si>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</si>
  <si>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</si>
  <si>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</si>
  <si>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</si>
  <si>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</si>
  <si>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</si>
  <si>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</si>
  <si>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</si>
  <si>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</si>
  <si>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</si>
  <si>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</si>
  <si>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</si>
  <si>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</si>
  <si>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</si>
  <si>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</si>
  <si>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</si>
  <si>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</si>
  <si>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</si>
  <si>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</si>
  <si>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</si>
  <si>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</si>
  <si>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</si>
  <si>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</si>
  <si>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</si>
  <si>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</si>
  <si>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</si>
  <si>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</si>
  <si>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</si>
  <si>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</si>
  <si>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</si>
  <si>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</si>
  <si>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</si>
  <si>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</si>
  <si>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</si>
  <si>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</si>
  <si>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</si>
  <si>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</si>
  <si>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</si>
  <si>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</si>
  <si>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</si>
  <si>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</si>
  <si>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</si>
  <si>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</si>
  <si>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</si>
  <si>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</si>
  <si>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</si>
  <si>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</si>
  <si>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</si>
  <si>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</si>
  <si>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</si>
  <si>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</si>
  <si>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</si>
  <si>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</si>
  <si>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</si>
  <si>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</si>
  <si>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</si>
  <si>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</si>
  <si>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</si>
  <si>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</si>
  <si>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</si>
  <si>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</si>
  <si>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</si>
  <si>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</si>
  <si>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</si>
  <si>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</si>
  <si>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</si>
  <si>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</si>
  <si>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</si>
  <si>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</si>
  <si>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</si>
  <si>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</si>
  <si>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</si>
  <si>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</si>
  <si>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</si>
  <si>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</si>
  <si>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</si>
  <si>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</si>
  <si>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</si>
  <si>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</si>
  <si>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</si>
  <si>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</si>
  <si>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</si>
  <si>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</si>
  <si>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</si>
  <si>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</si>
  <si>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</si>
  <si>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</si>
  <si>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</si>
  <si>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</si>
  <si>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</si>
  <si>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</si>
  <si>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</si>
  <si>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</si>
  <si>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</si>
  <si>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</si>
  <si>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</si>
  <si>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</si>
  <si>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</si>
  <si>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</si>
  <si>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</si>
  <si>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</si>
  <si>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</si>
  <si>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</si>
  <si>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</si>
  <si>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</si>
  <si>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</si>
  <si>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</si>
  <si>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</si>
  <si>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</si>
  <si>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</si>
  <si>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</si>
  <si>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</si>
  <si>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</si>
  <si>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</si>
  <si>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</si>
  <si>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</si>
  <si>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</si>
  <si>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</si>
  <si>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</si>
  <si>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</si>
  <si>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</si>
  <si>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</si>
  <si>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</si>
  <si>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</si>
  <si>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</si>
  <si>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</si>
  <si>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</si>
  <si>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</si>
  <si>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</si>
  <si>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</si>
  <si>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</si>
  <si>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</si>
  <si>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</si>
  <si>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</si>
  <si>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</si>
  <si>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</si>
  <si>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</si>
  <si>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</si>
  <si>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</si>
  <si>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</si>
  <si>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</si>
  <si>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</si>
  <si>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</si>
  <si>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</si>
  <si>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</si>
  <si>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</si>
  <si>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</si>
  <si>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</si>
  <si>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</si>
  <si>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</si>
  <si>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</si>
  <si>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</si>
  <si>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</si>
  <si>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</si>
  <si>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</si>
  <si>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</si>
  <si>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</si>
  <si>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</si>
  <si>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</si>
  <si>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</si>
  <si>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</si>
  <si>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</si>
  <si>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</si>
  <si>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</si>
  <si>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</si>
  <si>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</si>
  <si>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</si>
  <si>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</si>
  <si>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</si>
  <si>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</si>
  <si>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</si>
  <si>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</si>
  <si>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</si>
  <si>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</si>
  <si>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</si>
  <si>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</si>
  <si>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</si>
  <si>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</si>
  <si>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</si>
  <si>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</si>
  <si>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</si>
  <si>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</si>
  <si>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</si>
  <si>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</si>
  <si>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</si>
  <si>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</si>
  <si>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</si>
  <si>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</si>
  <si>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</si>
  <si>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</si>
  <si>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</si>
  <si>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</si>
  <si>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</si>
  <si>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</si>
  <si>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</si>
  <si>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</si>
  <si>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</si>
  <si>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</si>
  <si>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</si>
  <si>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</si>
  <si>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</si>
  <si>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</si>
  <si>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</si>
  <si>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</si>
  <si>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</si>
  <si>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</si>
  <si>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</si>
  <si>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</si>
  <si>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</si>
  <si>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</si>
  <si>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</si>
  <si>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</si>
  <si>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</si>
  <si>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</si>
  <si>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</si>
  <si>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</si>
  <si>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</si>
  <si>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</si>
  <si>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</si>
  <si>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</si>
  <si>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</si>
  <si>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</si>
  <si>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</si>
  <si>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</si>
  <si>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</si>
  <si>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</si>
  <si>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</si>
  <si>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</si>
  <si>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</si>
  <si>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</si>
  <si>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</si>
  <si>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</si>
  <si>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</si>
  <si>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</si>
  <si>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</si>
  <si>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</si>
  <si>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</si>
  <si>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</si>
  <si>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</si>
  <si>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</si>
  <si>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</si>
  <si>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</si>
  <si>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</si>
  <si>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</si>
  <si>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</si>
  <si>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</si>
  <si>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</si>
  <si>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</si>
  <si>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</si>
  <si>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</si>
  <si>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</si>
  <si>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</si>
  <si>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</si>
  <si>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</si>
  <si>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</si>
  <si>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</si>
  <si>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</si>
  <si>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</si>
  <si>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</si>
  <si>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</si>
  <si>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</si>
  <si>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</si>
  <si>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</si>
  <si>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</si>
  <si>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</si>
  <si>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</si>
  <si>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</si>
  <si>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</si>
  <si>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</si>
  <si>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</si>
  <si>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</si>
  <si>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</si>
  <si>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</si>
  <si>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</si>
  <si>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</si>
  <si>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</si>
  <si>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</si>
  <si>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</si>
  <si>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</si>
  <si>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</si>
  <si>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</si>
  <si>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</si>
  <si>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</si>
  <si>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</si>
  <si>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</si>
  <si>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</si>
  <si>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</si>
  <si>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</si>
  <si>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</si>
  <si>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</si>
  <si>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</si>
  <si>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</si>
  <si>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</si>
  <si>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</si>
  <si>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</si>
  <si>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</si>
  <si>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</si>
  <si>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</si>
  <si>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</si>
  <si>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</si>
  <si>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</si>
  <si>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</si>
  <si>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</si>
  <si>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</si>
  <si>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</si>
  <si>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</si>
  <si>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</si>
  <si>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</si>
  <si>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</si>
  <si>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</si>
  <si>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</si>
  <si>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</si>
  <si>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</si>
  <si>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</si>
  <si>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</si>
  <si>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</si>
  <si>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</si>
  <si>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</si>
  <si>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</si>
  <si>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</si>
  <si>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</si>
  <si>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</si>
  <si>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</si>
  <si>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</si>
  <si>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</si>
  <si>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</si>
  <si>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</si>
  <si>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</si>
  <si>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</si>
  <si>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</si>
  <si>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</si>
  <si>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</si>
  <si>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</si>
  <si>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</si>
  <si>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</si>
  <si>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</si>
  <si>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</si>
  <si>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</si>
  <si>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</si>
  <si>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</si>
  <si>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</si>
  <si>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</si>
  <si>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</si>
  <si>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</si>
  <si>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</si>
  <si>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</si>
  <si>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</si>
  <si>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</si>
  <si>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</si>
  <si>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</si>
  <si>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</si>
  <si>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</si>
  <si>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</si>
  <si>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</si>
  <si>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</si>
  <si>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</si>
  <si>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</si>
  <si>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</si>
  <si>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</si>
  <si>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</si>
  <si>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</si>
  <si>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</si>
  <si>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</si>
  <si>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</si>
  <si>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</si>
  <si>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</si>
  <si>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</si>
  <si>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</si>
  <si>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</si>
  <si>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</si>
  <si>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</si>
  <si>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</si>
  <si>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</si>
  <si>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</si>
  <si>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</si>
  <si>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</si>
  <si>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</si>
  <si>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</si>
  <si>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</si>
  <si>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</si>
  <si>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</si>
  <si>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</si>
  <si>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</si>
  <si>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</si>
  <si>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</si>
  <si>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</si>
  <si>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</si>
  <si>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</si>
  <si>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</si>
  <si>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</si>
  <si>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</si>
  <si>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</si>
  <si>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</si>
  <si>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</si>
  <si>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</si>
  <si>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</si>
  <si>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</si>
  <si>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</si>
  <si>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</si>
  <si>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</si>
  <si>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</si>
  <si>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</si>
  <si>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</si>
  <si>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</si>
  <si>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</si>
  <si>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</si>
  <si>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</si>
  <si>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</si>
  <si>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</si>
  <si>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</si>
  <si>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</si>
  <si>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</si>
  <si>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</si>
  <si>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</si>
  <si>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</si>
  <si>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</si>
  <si>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</si>
  <si>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</si>
  <si>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</si>
  <si>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</si>
  <si>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</si>
  <si>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</si>
  <si>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</si>
  <si>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</si>
  <si>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</si>
  <si>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</si>
  <si>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</si>
  <si>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</si>
  <si>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</si>
  <si>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</si>
  <si>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</si>
  <si>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</si>
  <si>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</si>
  <si>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</si>
  <si>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</si>
  <si>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</si>
  <si>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</si>
  <si>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</si>
  <si>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</si>
  <si>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</si>
  <si>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</si>
  <si>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</si>
  <si>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</si>
  <si>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</si>
  <si>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</si>
  <si>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</si>
  <si>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</si>
  <si>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</si>
  <si>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</si>
  <si>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</si>
  <si>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</si>
  <si>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</si>
  <si>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</si>
  <si>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</si>
  <si>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</si>
  <si>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</si>
  <si>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</si>
  <si>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</si>
  <si>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</si>
  <si>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</si>
  <si>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</si>
  <si>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</si>
  <si>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</si>
  <si>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</si>
  <si>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</si>
  <si>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</si>
  <si>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</si>
  <si>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</si>
  <si>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</si>
  <si>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</si>
  <si>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</si>
  <si>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</si>
  <si>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</si>
  <si>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</si>
  <si>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</si>
  <si>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</si>
  <si>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</si>
  <si>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</si>
  <si>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</si>
  <si>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</si>
  <si>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</si>
  <si>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</si>
  <si>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</si>
  <si>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</si>
  <si>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</si>
  <si>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</si>
  <si>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</si>
  <si>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</si>
  <si>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</si>
  <si>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</si>
  <si>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</si>
  <si>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</si>
  <si>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</si>
  <si>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</si>
  <si>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</si>
  <si>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</si>
  <si>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</si>
  <si>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</si>
  <si>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</si>
  <si>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</si>
  <si>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</si>
  <si>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</si>
  <si>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</si>
  <si>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</si>
  <si>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</si>
  <si>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</si>
  <si>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</si>
  <si>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</si>
  <si>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</si>
  <si>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</si>
  <si>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</si>
  <si>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</si>
  <si>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</si>
  <si>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</si>
  <si>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</si>
  <si>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</si>
  <si>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</si>
  <si>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</si>
  <si>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</si>
  <si>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</si>
  <si>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</si>
  <si>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</si>
  <si>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</si>
  <si>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</si>
  <si>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</si>
  <si>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</si>
  <si>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</si>
  <si>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</si>
  <si>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</si>
  <si>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</si>
  <si>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</si>
  <si>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</si>
  <si>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</si>
  <si>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</si>
  <si>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</si>
  <si>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</si>
  <si>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</si>
  <si>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</si>
  <si>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</si>
  <si>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</si>
  <si>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</si>
  <si>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</si>
  <si>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</si>
  <si>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</si>
  <si>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</si>
  <si>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</si>
  <si>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</si>
  <si>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</si>
  <si>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</si>
  <si>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</si>
  <si>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</si>
  <si>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</si>
  <si>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</si>
  <si>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</si>
  <si>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</si>
  <si>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</si>
  <si>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</si>
  <si>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</si>
  <si>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</si>
  <si>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</si>
  <si>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</si>
  <si>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</si>
  <si>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</si>
  <si>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</si>
  <si>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</si>
  <si>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</si>
  <si>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</si>
  <si>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</si>
  <si>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</si>
  <si>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</si>
  <si>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</si>
  <si>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</si>
  <si>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</si>
  <si>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</si>
  <si>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</si>
  <si>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</si>
  <si>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</si>
  <si>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</si>
  <si>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</si>
  <si>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</si>
  <si>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</si>
  <si>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</si>
  <si>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</si>
  <si>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</si>
  <si>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</si>
  <si>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</si>
  <si>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</si>
  <si>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</si>
  <si>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</si>
  <si>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</si>
  <si>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</si>
  <si>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</si>
  <si>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</si>
  <si>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</si>
  <si>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</si>
  <si>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</si>
  <si>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</si>
  <si>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</si>
  <si>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</si>
  <si>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</si>
  <si>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</si>
  <si>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</si>
  <si>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</si>
  <si>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</si>
  <si>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</si>
  <si>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</si>
  <si>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</si>
  <si>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</si>
  <si>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</si>
  <si>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</si>
  <si>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</si>
  <si>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</si>
  <si>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</si>
  <si>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</si>
  <si>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</si>
  <si>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</si>
  <si>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</si>
  <si>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</si>
  <si>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</si>
  <si>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</si>
  <si>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</si>
  <si>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</si>
  <si>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</si>
  <si>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</si>
  <si>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</si>
  <si>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</si>
  <si>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</si>
  <si>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</si>
  <si>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</si>
  <si>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</si>
  <si>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</si>
  <si>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</si>
  <si>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</si>
  <si>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</si>
  <si>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</si>
  <si>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</si>
  <si>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</si>
  <si>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</si>
  <si>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</si>
  <si>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</si>
  <si>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</si>
  <si>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</si>
  <si>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</si>
  <si>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</si>
  <si>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</si>
  <si>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</si>
  <si>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</si>
  <si>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</si>
  <si>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</si>
  <si>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</si>
  <si>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</si>
  <si>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</si>
  <si>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</si>
  <si>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</si>
  <si>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</si>
  <si>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</si>
  <si>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</si>
  <si>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</si>
  <si>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</si>
  <si>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</si>
  <si>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</si>
  <si>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</si>
  <si>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</si>
  <si>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</si>
  <si>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</si>
  <si>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</si>
  <si>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</si>
  <si>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</si>
  <si>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</si>
  <si>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</si>
  <si>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</si>
  <si>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</si>
  <si>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</si>
  <si>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</si>
  <si>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</si>
  <si>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</si>
  <si>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</si>
  <si>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</si>
  <si>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</si>
  <si>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</si>
  <si>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</si>
  <si>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</si>
  <si>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</si>
  <si>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</si>
  <si>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</si>
  <si>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</si>
  <si>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</si>
  <si>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</si>
  <si>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</si>
  <si>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</si>
  <si>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</si>
  <si>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</si>
  <si>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</si>
  <si>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</si>
  <si>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</si>
  <si>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</si>
  <si>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</si>
  <si>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</si>
  <si>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</si>
  <si>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</si>
  <si>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</si>
  <si>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</si>
  <si>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</si>
  <si>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</si>
  <si>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</si>
  <si>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</si>
  <si>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</si>
  <si>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</si>
  <si>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</si>
  <si>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</si>
  <si>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</si>
  <si>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</si>
  <si>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</si>
  <si>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</si>
  <si>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</si>
  <si>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</si>
  <si>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</si>
  <si>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</si>
  <si>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</si>
  <si>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</si>
  <si>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</si>
  <si>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</si>
  <si>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</si>
  <si>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</si>
  <si>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</si>
  <si>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</si>
  <si>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</si>
  <si>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</si>
  <si>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</si>
  <si>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</si>
  <si>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</si>
  <si>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</si>
  <si>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</si>
  <si>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</si>
  <si>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</si>
  <si>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</si>
  <si>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</si>
  <si>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</si>
  <si>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</si>
  <si>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</si>
  <si>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</si>
  <si>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</si>
  <si>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</si>
  <si>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</si>
  <si>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</si>
  <si>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</si>
  <si>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</si>
  <si>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</si>
  <si>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</si>
  <si>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</si>
  <si>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</si>
  <si>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</si>
  <si>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</si>
  <si>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</si>
  <si>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</si>
  <si>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</si>
  <si>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</si>
  <si>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</si>
  <si>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</si>
  <si>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</si>
  <si>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</si>
  <si>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</si>
  <si>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</si>
  <si>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</si>
  <si>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</si>
  <si>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</si>
  <si>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</si>
  <si>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</si>
  <si>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</si>
  <si>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</si>
  <si>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</si>
  <si>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</si>
  <si>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</si>
  <si>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</si>
  <si>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</si>
  <si>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</si>
  <si>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</si>
  <si>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</si>
  <si>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</si>
  <si>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</si>
  <si>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</si>
  <si>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</si>
  <si>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</si>
  <si>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</si>
  <si>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</si>
  <si>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</si>
  <si>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</si>
  <si>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</si>
  <si>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</si>
  <si>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</si>
  <si>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</si>
  <si>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</si>
  <si>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</si>
  <si>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</si>
  <si>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</si>
  <si>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</si>
  <si>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</si>
  <si>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</si>
  <si>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</si>
  <si>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</si>
  <si>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</si>
  <si>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</si>
  <si>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</si>
  <si>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</si>
  <si>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</si>
  <si>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</si>
  <si>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</si>
  <si>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</si>
  <si>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</si>
  <si>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</si>
  <si>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</si>
  <si>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</si>
  <si>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</si>
  <si>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</si>
  <si>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</si>
  <si>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</si>
  <si>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</si>
  <si>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</si>
  <si>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</si>
  <si>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</si>
  <si>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</si>
  <si>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</si>
  <si>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</si>
  <si>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</si>
  <si>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</si>
  <si>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</si>
  <si>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</si>
  <si>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</si>
  <si>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</si>
  <si>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</si>
  <si>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</si>
  <si>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</si>
  <si>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</si>
  <si>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</si>
  <si>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</si>
  <si>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</si>
  <si>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</si>
  <si>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</si>
  <si>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</si>
  <si>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</si>
  <si>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</si>
  <si>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</si>
  <si>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</si>
  <si>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</si>
  <si>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</si>
  <si>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</si>
  <si>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</si>
  <si>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</si>
  <si>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</si>
  <si>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</si>
  <si>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</si>
  <si>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</si>
  <si>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</si>
  <si>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</si>
  <si>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</si>
  <si>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</si>
  <si>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</si>
  <si>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</si>
  <si>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</si>
  <si>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</si>
  <si>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</si>
  <si>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</si>
  <si>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</si>
  <si>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</si>
  <si>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</si>
  <si>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</si>
  <si>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</si>
  <si>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</si>
  <si>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</si>
  <si>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</si>
  <si>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</si>
  <si>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</si>
  <si>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</si>
  <si>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</si>
  <si>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</si>
  <si>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</si>
  <si>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</si>
  <si>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</si>
  <si>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</si>
  <si>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</si>
  <si>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</si>
  <si>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</si>
  <si>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</si>
  <si>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</si>
  <si>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</si>
  <si>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</si>
  <si>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</si>
  <si>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</si>
  <si>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</si>
  <si>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</si>
  <si>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</si>
  <si>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</si>
  <si>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</si>
  <si>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</si>
  <si>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</si>
  <si>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</si>
  <si>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</si>
  <si>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</si>
  <si>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</si>
  <si>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</si>
  <si>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</si>
  <si>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</si>
  <si>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</si>
  <si>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</si>
  <si>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</si>
  <si>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</si>
  <si>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</si>
  <si>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</si>
  <si>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</si>
  <si>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</si>
  <si>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</si>
  <si>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</si>
  <si>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</si>
  <si>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</si>
  <si>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</si>
  <si>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</si>
  <si>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</si>
  <si>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</si>
  <si>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</si>
  <si>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</si>
  <si>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</si>
  <si>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</si>
  <si>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</si>
  <si>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</si>
  <si>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</si>
  <si>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</si>
  <si>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</si>
  <si>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</si>
  <si>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</si>
  <si>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</si>
  <si>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</si>
  <si>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</si>
  <si>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</si>
  <si>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</si>
  <si>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</si>
  <si>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</si>
  <si>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</si>
  <si>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</si>
  <si>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</si>
  <si>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</si>
  <si>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</si>
  <si>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</si>
  <si>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</si>
  <si>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</si>
  <si>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</si>
  <si>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</si>
  <si>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</si>
  <si>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</si>
  <si>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</si>
  <si>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</si>
  <si>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</si>
  <si>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</si>
  <si>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</si>
  <si>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</si>
  <si>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</si>
  <si>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</si>
  <si>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</si>
  <si>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</si>
  <si>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</si>
  <si>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</si>
  <si>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</si>
  <si>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</si>
  <si>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</si>
  <si>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</si>
  <si>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</si>
  <si>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</si>
  <si>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</si>
  <si>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</si>
  <si>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</si>
  <si>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</si>
  <si>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</si>
  <si>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</si>
  <si>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</si>
  <si>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</si>
  <si>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</si>
  <si>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</si>
  <si>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</si>
  <si>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</si>
  <si>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</si>
  <si>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</si>
  <si>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</si>
  <si>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</si>
  <si>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</si>
  <si>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</si>
  <si>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</si>
  <si>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</si>
  <si>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</si>
  <si>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</si>
  <si>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</si>
  <si>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</si>
  <si>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</si>
  <si>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</si>
  <si>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</si>
  <si>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</si>
  <si>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</si>
  <si>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</si>
  <si>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</si>
  <si>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</si>
  <si>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</si>
  <si>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</si>
  <si>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</si>
  <si>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</si>
  <si>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</si>
  <si>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</si>
  <si>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</si>
  <si>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</si>
  <si>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</si>
  <si>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</si>
  <si>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</si>
  <si>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</si>
  <si>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</si>
  <si>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</si>
  <si>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</si>
  <si>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</si>
  <si>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</si>
  <si>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</si>
  <si>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</si>
  <si>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</si>
  <si>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</si>
  <si>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</si>
  <si>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</si>
  <si>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</si>
  <si>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</si>
  <si>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</si>
  <si>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</si>
  <si>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</si>
  <si>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</si>
  <si>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</si>
  <si>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</si>
  <si>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</si>
  <si>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</si>
  <si>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</si>
  <si>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</si>
  <si>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</si>
  <si>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</si>
  <si>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</si>
  <si>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</si>
  <si>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</si>
  <si>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</si>
  <si>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</si>
  <si>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</si>
  <si>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</si>
  <si>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</si>
  <si>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</si>
  <si>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</si>
  <si>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</si>
  <si>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</si>
  <si>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</si>
  <si>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</si>
  <si>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</si>
  <si>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</si>
  <si>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</si>
  <si>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</si>
  <si>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</si>
  <si>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</si>
  <si>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</si>
  <si>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</si>
  <si>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</si>
  <si>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</si>
  <si>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</si>
  <si>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</si>
  <si>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</si>
  <si>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</si>
  <si>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</si>
  <si>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</si>
  <si>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</si>
  <si>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</si>
  <si>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</si>
  <si>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</si>
  <si>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</si>
  <si>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</si>
  <si>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</si>
  <si>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</si>
  <si>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</si>
  <si>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</si>
  <si>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</si>
  <si>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</si>
  <si>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</si>
  <si>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</si>
  <si>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</si>
  <si>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</si>
  <si>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</si>
  <si>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</si>
  <si>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</si>
  <si>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</si>
  <si>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</si>
  <si>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</si>
  <si>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</si>
  <si>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</si>
  <si>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</si>
  <si>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</si>
  <si>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</si>
  <si>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</si>
  <si>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</si>
  <si>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</si>
  <si>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</si>
  <si>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</si>
  <si>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</si>
  <si>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</si>
  <si>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</si>
  <si>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</si>
  <si>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</si>
  <si>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</si>
  <si>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</si>
  <si>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</si>
  <si>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</si>
  <si>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</si>
  <si>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</si>
  <si>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</si>
  <si>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</si>
  <si>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</si>
  <si>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</si>
  <si>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</si>
  <si>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</si>
  <si>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</si>
  <si>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</si>
  <si>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</si>
  <si>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</si>
  <si>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</si>
  <si>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</si>
  <si>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</si>
  <si>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</si>
  <si>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</si>
  <si>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</si>
  <si>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</si>
  <si>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</si>
  <si>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</si>
  <si>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</si>
  <si>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</si>
  <si>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</si>
  <si>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</si>
  <si>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</si>
  <si>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</si>
  <si>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</si>
  <si>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</si>
  <si>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</si>
  <si>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</si>
  <si>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</si>
  <si>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</si>
  <si>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</si>
  <si>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</si>
  <si>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</si>
  <si>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</si>
  <si>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</si>
  <si>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</si>
  <si>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</si>
  <si>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</si>
  <si>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</si>
  <si>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</si>
  <si>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</si>
  <si>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</si>
  <si>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</si>
  <si>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</si>
  <si>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</si>
  <si>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</si>
  <si>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</si>
  <si>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</si>
  <si>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</si>
  <si>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</si>
  <si>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</si>
  <si>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</si>
  <si>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</si>
  <si>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</si>
  <si>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</si>
  <si>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</si>
  <si>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</si>
  <si>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</si>
  <si>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</si>
  <si>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</si>
  <si>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</si>
  <si>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</si>
  <si>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</si>
  <si>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</si>
  <si>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</si>
  <si>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</si>
  <si>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</si>
  <si>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</si>
  <si>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</si>
  <si>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</si>
  <si>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</si>
  <si>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</si>
  <si>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</si>
  <si>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</si>
  <si>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</si>
  <si>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</si>
  <si>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</si>
  <si>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</si>
  <si>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</si>
  <si>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</si>
  <si>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</si>
  <si>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</si>
  <si>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</si>
  <si>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</si>
  <si>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</si>
  <si>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</si>
  <si>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</si>
  <si>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</si>
  <si>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</si>
  <si>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</si>
  <si>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</si>
  <si>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</si>
  <si>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</si>
  <si>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</si>
  <si>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</si>
  <si>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</si>
  <si>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</si>
  <si>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</si>
  <si>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</si>
  <si>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</si>
  <si>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</si>
  <si>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</si>
  <si>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</si>
  <si>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</si>
  <si>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</si>
  <si>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</si>
  <si>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</si>
  <si>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</si>
  <si>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</si>
  <si>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</si>
  <si>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</si>
  <si>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</si>
  <si>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</si>
  <si>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</si>
  <si>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</si>
  <si>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</si>
  <si>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</si>
  <si>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</si>
  <si>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</si>
  <si>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</si>
  <si>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</si>
  <si>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</si>
  <si>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</si>
  <si>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</si>
  <si>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</si>
  <si>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</si>
  <si>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</si>
  <si>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</si>
  <si>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</si>
  <si>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</si>
  <si>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</si>
  <si>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</si>
  <si>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</si>
  <si>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</si>
  <si>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</si>
  <si>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</si>
  <si>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</si>
  <si>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</si>
  <si>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</si>
  <si>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</si>
  <si>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</si>
  <si>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</si>
  <si>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</si>
  <si>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</si>
  <si>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</si>
  <si>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</si>
  <si>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</si>
  <si>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</si>
  <si>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</si>
  <si>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</si>
  <si>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</si>
  <si>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</si>
  <si>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</si>
  <si>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</si>
  <si>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</si>
  <si>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</si>
  <si>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</si>
  <si>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</si>
  <si>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</si>
  <si>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</si>
  <si>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</si>
  <si>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</si>
  <si>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</si>
  <si>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</si>
  <si>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</si>
  <si>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</si>
  <si>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</si>
  <si>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</si>
  <si>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</si>
  <si>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</si>
  <si>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</si>
  <si>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</si>
  <si>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</si>
  <si>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</si>
  <si>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</si>
  <si>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</si>
  <si>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</si>
  <si>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</si>
  <si>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</si>
  <si>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</si>
  <si>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</si>
  <si>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</si>
  <si>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</si>
  <si>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</si>
  <si>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</si>
  <si>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</si>
  <si>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</si>
  <si>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</si>
  <si>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</si>
  <si>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</si>
  <si>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</si>
  <si>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</si>
  <si>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</si>
  <si>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</si>
  <si>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</si>
  <si>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</si>
  <si>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</si>
  <si>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</si>
  <si>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</si>
  <si>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</si>
  <si>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</si>
  <si>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</si>
  <si>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</si>
  <si>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</si>
  <si>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</si>
  <si>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</si>
  <si>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</si>
  <si>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</si>
  <si>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</si>
  <si>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</si>
  <si>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</si>
  <si>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</si>
  <si>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</si>
  <si>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</si>
  <si>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</si>
  <si>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</si>
  <si>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</si>
  <si>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</si>
  <si>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</si>
  <si>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</si>
  <si>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</si>
  <si>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</si>
  <si>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</si>
  <si>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</si>
  <si>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</si>
  <si>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</si>
  <si>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</si>
  <si>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</si>
  <si>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</si>
  <si>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</si>
  <si>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</si>
  <si>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</si>
  <si>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</si>
  <si>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</si>
  <si>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</si>
  <si>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</si>
  <si>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</si>
  <si>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</si>
  <si>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</si>
  <si>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</si>
  <si>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</si>
  <si>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</si>
  <si>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</si>
  <si>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</si>
  <si>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</si>
  <si>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</si>
  <si>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</si>
  <si>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</si>
  <si>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</si>
  <si>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</si>
  <si>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</si>
  <si>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</si>
  <si>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</si>
  <si>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</si>
  <si>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</si>
  <si>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</si>
  <si>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</si>
  <si>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</si>
  <si>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</si>
  <si>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</si>
  <si>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</si>
  <si>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</si>
  <si>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</si>
  <si>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</si>
  <si>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</si>
  <si>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</si>
  <si>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</si>
  <si>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</si>
  <si>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</si>
  <si>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</si>
  <si>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</si>
  <si>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</si>
  <si>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</si>
  <si>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</si>
  <si>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</si>
  <si>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</si>
  <si>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</si>
  <si>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</si>
  <si>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</si>
  <si>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</si>
  <si>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</si>
  <si>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</si>
  <si>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</si>
  <si>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</si>
  <si>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</si>
  <si>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</si>
  <si>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</si>
  <si>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</si>
  <si>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</si>
  <si>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</si>
  <si>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</si>
  <si>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</si>
  <si>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</si>
  <si>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</si>
  <si>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</si>
  <si>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</si>
  <si>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</si>
  <si>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</si>
  <si>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</si>
  <si>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</si>
  <si>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</si>
  <si>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</si>
  <si>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</si>
  <si>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</si>
  <si>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</si>
  <si>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</si>
  <si>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</si>
  <si>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</si>
  <si>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</si>
  <si>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</si>
  <si>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</si>
  <si>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</si>
  <si>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</si>
  <si>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</si>
  <si>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</si>
  <si>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</si>
  <si>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</si>
  <si>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</si>
  <si>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</si>
  <si>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</si>
  <si>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</si>
  <si>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</si>
  <si>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</si>
  <si>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</si>
  <si>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</si>
  <si>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</si>
  <si>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</si>
  <si>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</si>
  <si>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</si>
  <si>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</si>
  <si>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</si>
  <si>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</si>
  <si>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</si>
  <si>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</si>
  <si>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</si>
  <si>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</si>
  <si>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</si>
  <si>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</si>
  <si>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</si>
  <si>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</si>
  <si>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</si>
  <si>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</si>
  <si>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</si>
  <si>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</si>
  <si>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</si>
  <si>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</si>
  <si>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</si>
  <si>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</si>
  <si>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</si>
  <si>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</si>
  <si>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</si>
  <si>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</si>
  <si>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</si>
  <si>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</si>
  <si>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</si>
  <si>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</si>
  <si>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</si>
  <si>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</si>
  <si>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</si>
  <si>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</si>
  <si>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</si>
  <si>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</si>
  <si>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</si>
  <si>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</si>
  <si>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</si>
  <si>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</si>
  <si>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</si>
  <si>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</si>
  <si>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</si>
  <si>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</si>
  <si>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</si>
  <si>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</si>
  <si>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</si>
  <si>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</si>
  <si>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</si>
  <si>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</si>
  <si>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</si>
  <si>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</si>
  <si>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</si>
  <si>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</si>
  <si>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</si>
  <si>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</si>
  <si>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</si>
  <si>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</si>
  <si>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</si>
  <si>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</si>
  <si>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</si>
  <si>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</si>
  <si>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</si>
  <si>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</si>
  <si>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</si>
  <si>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</si>
  <si>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</si>
  <si>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</si>
  <si>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</si>
  <si>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</si>
  <si>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</si>
  <si>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</si>
  <si>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</si>
  <si>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</si>
  <si>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</si>
  <si>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</si>
  <si>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</si>
  <si>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</si>
  <si>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</si>
  <si>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</si>
  <si>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</si>
  <si>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</si>
  <si>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</si>
  <si>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</si>
  <si>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</si>
  <si>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</si>
  <si>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</si>
  <si>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</si>
  <si>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</si>
  <si>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</si>
  <si>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</si>
  <si>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</si>
  <si>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</si>
  <si>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</si>
  <si>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</si>
  <si>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</si>
  <si>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</si>
  <si>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</si>
  <si>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</si>
  <si>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</si>
  <si>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</si>
  <si>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</si>
  <si>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</si>
  <si>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</si>
  <si>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</si>
  <si>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</si>
  <si>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</si>
  <si>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</si>
  <si>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</si>
  <si>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</si>
  <si>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</si>
  <si>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</si>
  <si>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</si>
  <si>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</si>
  <si>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</si>
  <si>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</si>
  <si>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</si>
  <si>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</si>
  <si>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</si>
  <si>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</si>
  <si>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</si>
  <si>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</si>
  <si>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</si>
  <si>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</si>
  <si>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</si>
  <si>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</si>
  <si>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</si>
  <si>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</si>
  <si>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</si>
  <si>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</si>
  <si>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</si>
  <si>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</si>
  <si>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</si>
  <si>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</si>
  <si>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</si>
  <si>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</si>
  <si>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</si>
  <si>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</si>
  <si>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</si>
  <si>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</si>
  <si>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</si>
  <si>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</si>
  <si>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</si>
  <si>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</si>
  <si>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</si>
  <si>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</si>
  <si>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</si>
  <si>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</si>
  <si>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</si>
  <si>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</si>
  <si>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</si>
  <si>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</si>
  <si>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</si>
  <si>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</si>
  <si>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</si>
  <si>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</si>
  <si>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</si>
  <si>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</si>
  <si>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</si>
  <si>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</si>
  <si>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</si>
  <si>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</si>
  <si>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</si>
  <si>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</si>
  <si>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</si>
  <si>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</si>
  <si>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</si>
  <si>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</si>
  <si>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</si>
  <si>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</si>
  <si>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</si>
  <si>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</si>
  <si>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</si>
  <si>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</si>
  <si>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</si>
  <si>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</si>
  <si>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</si>
  <si>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</si>
  <si>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</si>
  <si>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</si>
  <si>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</si>
  <si>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</si>
  <si>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</si>
  <si>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</si>
  <si>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</si>
  <si>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</si>
  <si>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</si>
  <si>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</si>
  <si>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</si>
  <si>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</si>
  <si>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</si>
  <si>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</si>
  <si>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</si>
  <si>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</si>
  <si>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</si>
  <si>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</si>
  <si>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</si>
  <si>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</si>
  <si>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</si>
  <si>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</si>
  <si>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</si>
  <si>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</si>
  <si>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</si>
  <si>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</si>
  <si>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</si>
  <si>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</si>
  <si>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</si>
  <si>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</si>
  <si>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</si>
  <si>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</si>
  <si>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</si>
  <si>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</si>
  <si>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</si>
  <si>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</si>
  <si>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</si>
  <si>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</si>
  <si>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</si>
  <si>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</si>
  <si>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</si>
  <si>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</si>
  <si>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</si>
  <si>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</si>
  <si>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</si>
  <si>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</si>
  <si>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</si>
  <si>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</si>
  <si>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</si>
  <si>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</si>
  <si>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</si>
  <si>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</si>
  <si>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</si>
  <si>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</si>
  <si>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</si>
  <si>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</si>
  <si>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</si>
  <si>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</si>
  <si>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</si>
  <si>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</si>
  <si>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</si>
  <si>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</si>
  <si>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</si>
  <si>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</si>
  <si>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</si>
  <si>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</si>
  <si>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</si>
  <si>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</si>
  <si>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</si>
  <si>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</si>
  <si>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</si>
  <si>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</si>
  <si>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</si>
  <si>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</si>
  <si>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</si>
  <si>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</si>
  <si>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</si>
  <si>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</si>
  <si>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</si>
  <si>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</si>
  <si>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</si>
  <si>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</si>
  <si>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</si>
  <si>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</si>
  <si>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</si>
  <si>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</si>
  <si>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</si>
  <si>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</si>
  <si>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</si>
  <si>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</si>
  <si>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</si>
  <si>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</si>
  <si>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</si>
  <si>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</si>
  <si>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</si>
  <si>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</si>
  <si>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</si>
  <si>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</si>
  <si>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</si>
  <si>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</si>
  <si>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</si>
  <si>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</si>
  <si>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</si>
  <si>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</si>
  <si>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</si>
  <si>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</si>
  <si>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</si>
  <si>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</si>
  <si>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</si>
  <si>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</si>
  <si>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</si>
  <si>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</si>
  <si>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</si>
  <si>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</si>
  <si>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</si>
  <si>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</si>
  <si>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</si>
  <si>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</si>
  <si>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</si>
  <si>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</si>
  <si>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</si>
  <si>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</si>
  <si>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</si>
  <si>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</si>
  <si>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</si>
  <si>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</si>
  <si>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</si>
  <si>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</si>
  <si>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</si>
  <si>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</si>
  <si>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</si>
  <si>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</si>
  <si>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</si>
  <si>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</si>
  <si>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</si>
  <si>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</si>
  <si>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</si>
  <si>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</si>
  <si>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</si>
  <si>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</si>
  <si>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</si>
  <si>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</si>
  <si>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</si>
  <si>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</si>
  <si>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</si>
  <si>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</si>
  <si>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</si>
  <si>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</si>
  <si>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</si>
  <si>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</si>
  <si>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</si>
  <si>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</si>
  <si>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</si>
  <si>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</si>
  <si>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</si>
  <si>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</si>
  <si>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</si>
  <si>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</si>
  <si>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</si>
  <si>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</si>
  <si>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</si>
  <si>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</si>
  <si>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</si>
  <si>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</si>
  <si>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</si>
  <si>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</si>
  <si>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</si>
  <si>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</si>
  <si>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</si>
  <si>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</si>
  <si>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</si>
  <si>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</si>
  <si>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</si>
  <si>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</si>
  <si>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</si>
  <si>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</si>
  <si>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</si>
  <si>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</si>
  <si>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</si>
  <si>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</si>
  <si>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</si>
  <si>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</si>
  <si>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</si>
  <si>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</si>
  <si>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</si>
  <si>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</si>
  <si>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</si>
  <si>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</si>
  <si>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</si>
  <si>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</si>
  <si>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</si>
  <si>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</si>
  <si>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</si>
  <si>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</si>
  <si>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</si>
  <si>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</si>
  <si>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</si>
  <si>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</si>
  <si>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</si>
  <si>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</si>
  <si>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</si>
  <si>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</si>
  <si>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</si>
  <si>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</si>
  <si>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</si>
  <si>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</si>
  <si>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</si>
  <si>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</si>
  <si>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</si>
  <si>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</si>
  <si>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</si>
  <si>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</si>
  <si>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</si>
  <si>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</si>
  <si>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</si>
  <si>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</si>
  <si>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</si>
  <si>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</si>
  <si>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</si>
  <si>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</si>
  <si>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</si>
  <si>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</si>
  <si>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</si>
  <si>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</si>
  <si>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</si>
  <si>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</si>
  <si>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</si>
  <si>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</si>
  <si>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</si>
  <si>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</si>
  <si>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</si>
  <si>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</si>
  <si>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</si>
  <si>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</si>
  <si>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</si>
  <si>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</si>
  <si>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</si>
  <si>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</si>
  <si>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</si>
  <si>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</si>
  <si>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</si>
  <si>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</si>
  <si>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</si>
  <si>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</si>
  <si>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</si>
  <si>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</si>
  <si>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</si>
  <si>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</si>
  <si>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</si>
  <si>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</si>
  <si>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</si>
  <si>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</si>
  <si>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</si>
  <si>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</si>
  <si>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</si>
  <si>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</si>
  <si>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</si>
  <si>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</si>
  <si>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</si>
  <si>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</si>
  <si>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</si>
  <si>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</si>
  <si>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</si>
  <si>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</si>
  <si>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</si>
  <si>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</si>
  <si>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</si>
  <si>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</si>
  <si>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</si>
  <si>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</si>
  <si>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</si>
  <si>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</si>
  <si>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</si>
  <si>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</si>
  <si>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</si>
  <si>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</si>
  <si>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</si>
  <si>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</si>
  <si>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</si>
  <si>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</si>
  <si>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</si>
  <si>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</si>
  <si>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</si>
  <si>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</si>
  <si>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</si>
  <si>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</si>
  <si>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</si>
  <si>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</si>
  <si>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</si>
  <si>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</si>
  <si>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</si>
  <si>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</si>
  <si>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</si>
  <si>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</si>
  <si>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</si>
  <si>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</si>
  <si>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</si>
  <si>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</si>
  <si>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</si>
  <si>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</si>
  <si>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</si>
  <si>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</si>
  <si>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</si>
  <si>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</si>
  <si>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</si>
  <si>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</si>
  <si>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</si>
  <si>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</si>
  <si>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</si>
  <si>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</si>
  <si>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</si>
  <si>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</si>
  <si>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</si>
  <si>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</si>
  <si>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</si>
  <si>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</si>
  <si>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</si>
  <si>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</si>
  <si>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</si>
  <si>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</si>
  <si>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</si>
  <si>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</si>
  <si>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</si>
  <si>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</si>
  <si>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</si>
  <si>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</si>
  <si>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</si>
  <si>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</si>
  <si>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</si>
  <si>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</si>
  <si>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</si>
  <si>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</si>
  <si>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</si>
  <si>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</si>
  <si>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</si>
  <si>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</si>
  <si>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</si>
  <si>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</si>
  <si>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</si>
  <si>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</si>
  <si>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</si>
  <si>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</si>
  <si>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</si>
  <si>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</si>
  <si>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</si>
  <si>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</si>
  <si>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</si>
  <si>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</si>
  <si>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</si>
  <si>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</si>
  <si>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</si>
  <si>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</si>
  <si>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</si>
  <si>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</si>
  <si>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</si>
  <si>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</si>
  <si>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</si>
  <si>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</si>
  <si>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</si>
  <si>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</si>
  <si>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</si>
  <si>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</si>
  <si>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</si>
  <si>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</si>
  <si>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</si>
  <si>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</si>
  <si>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</si>
  <si>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</si>
  <si>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</si>
  <si>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</si>
  <si>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</si>
  <si>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</si>
  <si>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</si>
  <si>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</si>
  <si>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</si>
  <si>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</si>
  <si>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</si>
  <si>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</si>
  <si>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</si>
  <si>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</si>
  <si>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</si>
  <si>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</si>
  <si>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</si>
  <si>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</si>
  <si>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</si>
  <si>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</si>
  <si>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</si>
  <si>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</si>
  <si>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</si>
  <si>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</si>
  <si>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</si>
  <si>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</si>
  <si>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</si>
  <si>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</si>
  <si>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</si>
  <si>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</si>
  <si>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</si>
  <si>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</si>
  <si>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</si>
  <si>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</si>
  <si>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</si>
  <si>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</si>
  <si>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</si>
  <si>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</si>
  <si>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</si>
  <si>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</si>
  <si>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</si>
  <si>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</si>
  <si>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</si>
  <si>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</si>
  <si>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</si>
  <si>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</si>
  <si>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</si>
  <si>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</si>
  <si>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</si>
  <si>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</si>
  <si>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</si>
  <si>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</si>
  <si>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</si>
  <si>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</si>
  <si>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</si>
  <si>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</si>
  <si>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</si>
  <si>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</si>
  <si>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</si>
  <si>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</si>
  <si>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</si>
  <si>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</si>
  <si>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</si>
  <si>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</si>
  <si>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</si>
  <si>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</si>
  <si>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</si>
  <si>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</si>
  <si>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</si>
  <si>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</si>
  <si>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</si>
  <si>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</si>
  <si>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</si>
  <si>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</si>
  <si>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</si>
  <si>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</si>
  <si>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</si>
  <si>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</si>
  <si>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</si>
  <si>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</si>
  <si>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</si>
  <si>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</si>
  <si>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</si>
  <si>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</si>
  <si>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</si>
  <si>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</si>
  <si>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</si>
  <si>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</si>
  <si>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</si>
  <si>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</si>
  <si>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</si>
  <si>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</si>
  <si>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</si>
  <si>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</si>
  <si>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</si>
  <si>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</si>
  <si>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</si>
  <si>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</si>
  <si>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</si>
  <si>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</si>
  <si>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</si>
  <si>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</si>
  <si>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</si>
  <si>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</si>
  <si>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</si>
  <si>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</si>
  <si>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</si>
  <si>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</si>
  <si>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</si>
  <si>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</si>
  <si>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</si>
  <si>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</si>
  <si>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</si>
  <si>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</si>
  <si>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</si>
  <si>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</si>
  <si>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</si>
  <si>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</si>
  <si>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</si>
  <si>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</si>
  <si>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</si>
  <si>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</si>
  <si>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</si>
  <si>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</si>
  <si>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</si>
  <si>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</si>
  <si>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</si>
  <si>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</si>
  <si>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</si>
  <si>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</si>
  <si>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</si>
  <si>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</si>
  <si>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</si>
  <si>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</si>
  <si>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</si>
  <si>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</si>
  <si>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</si>
  <si>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</si>
  <si>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</si>
  <si>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</si>
  <si>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</si>
  <si>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</si>
  <si>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</si>
  <si>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</si>
  <si>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</si>
  <si>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</si>
  <si>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</si>
  <si>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</si>
  <si>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</si>
  <si>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</si>
  <si>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</si>
  <si>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</si>
  <si>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</si>
  <si>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</si>
  <si>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</si>
  <si>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</si>
  <si>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</si>
  <si>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</si>
  <si>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</si>
  <si>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</si>
  <si>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</si>
  <si>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</si>
  <si>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</si>
  <si>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</si>
  <si>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</si>
  <si>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</si>
  <si>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</si>
  <si>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</si>
  <si>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</si>
  <si>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</si>
  <si>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</si>
  <si>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</si>
  <si>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</si>
  <si>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</si>
  <si>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</si>
  <si>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</si>
  <si>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</si>
  <si>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</si>
  <si>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</si>
  <si>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</si>
  <si>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</si>
  <si>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</si>
  <si>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</si>
  <si>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</si>
  <si>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</si>
  <si>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</si>
  <si>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</si>
  <si>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</si>
  <si>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</si>
  <si>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</si>
  <si>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</si>
  <si>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</si>
  <si>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</si>
  <si>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</si>
  <si>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</si>
  <si>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</si>
  <si>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</si>
  <si>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</si>
  <si>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</si>
  <si>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</si>
  <si>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</si>
  <si>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</si>
  <si>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</si>
  <si>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</si>
  <si>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</si>
  <si>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</si>
  <si>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</si>
  <si>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</si>
  <si>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</si>
  <si>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</si>
  <si>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</si>
  <si>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</si>
  <si>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</si>
  <si>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</si>
  <si>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</si>
  <si>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</si>
  <si>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</si>
  <si>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</si>
  <si>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</si>
  <si>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</si>
  <si>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</si>
  <si>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</si>
  <si>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</si>
  <si>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</si>
  <si>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</si>
  <si>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</si>
  <si>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</si>
  <si>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</si>
  <si>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</si>
  <si>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</si>
  <si>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</si>
  <si>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</si>
  <si>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</si>
  <si>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</si>
  <si>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</si>
  <si>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</si>
  <si>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</si>
  <si>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</si>
  <si>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</si>
  <si>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</si>
  <si>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</si>
  <si>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</si>
  <si>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</si>
  <si>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</si>
  <si>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</si>
  <si>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</si>
  <si>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</si>
  <si>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</si>
  <si>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</si>
  <si>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</si>
  <si>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</si>
  <si>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</si>
  <si>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</si>
  <si>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</si>
  <si>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</si>
  <si>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</si>
  <si>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</si>
  <si>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</si>
  <si>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</si>
  <si>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</si>
  <si>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</si>
  <si>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</si>
  <si>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</si>
  <si>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</si>
  <si>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</si>
  <si>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</si>
  <si>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</si>
  <si>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</si>
  <si>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</si>
  <si>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</si>
  <si>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</si>
  <si>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</si>
  <si>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</si>
  <si>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</si>
  <si>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</si>
  <si>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</si>
  <si>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</si>
  <si>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</si>
  <si>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</si>
  <si>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</si>
  <si>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</si>
  <si>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</si>
  <si>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</si>
  <si>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</si>
  <si>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</si>
  <si>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</si>
  <si>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</si>
  <si>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</si>
  <si>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</si>
  <si>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</si>
  <si>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</si>
  <si>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</si>
  <si>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</si>
  <si>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</si>
  <si>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</si>
  <si>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</si>
  <si>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</si>
  <si>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</si>
  <si>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</si>
  <si>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</si>
  <si>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</si>
  <si>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</si>
  <si>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</si>
  <si>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</si>
  <si>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</si>
  <si>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</si>
  <si>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</si>
  <si>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</si>
  <si>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</si>
  <si>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</si>
  <si>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</si>
  <si>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</si>
  <si>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</si>
  <si>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</si>
  <si>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</si>
  <si>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</si>
  <si>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</si>
  <si>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</si>
  <si>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</si>
  <si>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</si>
  <si>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</si>
  <si>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</si>
  <si>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</si>
  <si>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</si>
  <si>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</si>
  <si>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</si>
  <si>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</si>
  <si>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</si>
  <si>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</si>
  <si>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</si>
  <si>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</si>
  <si>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</si>
  <si>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</si>
  <si>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</si>
  <si>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</si>
  <si>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</si>
  <si>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</si>
  <si>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</si>
  <si>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</si>
  <si>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</si>
  <si>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</si>
  <si>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</si>
  <si>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</si>
  <si>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</si>
  <si>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</si>
  <si>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</si>
  <si>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</si>
  <si>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</si>
  <si>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</si>
  <si>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</si>
  <si>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</si>
  <si>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</si>
  <si>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</si>
  <si>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</si>
  <si>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</si>
  <si>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</si>
  <si>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</si>
  <si>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</si>
  <si>
    <t>HHC-190722N04</t>
  </si>
  <si>
    <t>NP-NNC190722N04</t>
  </si>
  <si>
    <t>NP-NCT120722N02</t>
  </si>
  <si>
    <t>NP-OC200622N1</t>
  </si>
  <si>
    <t>NP-T2S200722N04</t>
  </si>
  <si>
    <t>NP-BĐS200722N01</t>
  </si>
  <si>
    <t>NP-NNC190722N02</t>
  </si>
  <si>
    <t>cheer Lớn</t>
  </si>
  <si>
    <t>HHC-200622N02</t>
  </si>
  <si>
    <t>Đen-vàng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</si>
</sst>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8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0" fontId="0" fillId="0" borderId="30" xfId="0" applyFont="1" applyBorder="1"/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6" totalsRowShown="0" headerRowDxfId="157" headerRowBorderDxfId="156" tableBorderDxfId="155" totalsRowBorderDxfId="154" headerRowCellStyle="Normal 2">
  <autoFilter ref="A3:O4626">
    <filterColumn colId="7">
      <customFilters>
        <customFilter operator="notEqual" val=" "/>
      </customFilters>
    </filterColumn>
    <filterColumn colId="14">
      <filters blank="1"/>
    </filterColumn>
  </autoFilter>
  <sortState ref="A1294:O4628">
    <sortCondition ref="B3:B4628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4:Q6041">
    <sortCondition ref="A1:A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Wo@da%20Tr&#225;i%20tim" TargetMode="External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6"/>
  <sheetViews>
    <sheetView topLeftCell="B4274" zoomScaleNormal="100" workbookViewId="0">
      <selection activeCell="A3" sqref="A3:O4424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x14ac:dyDescent="0.35">
      <c r="A1294" s="249" t="s">
        <v>2773</v>
      </c>
      <c r="B1294" s="320" t="s">
        <v>1442</v>
      </c>
      <c r="C1294" s="76">
        <v>44754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4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2773</v>
      </c>
      <c r="B1308" s="157" t="s">
        <v>1442</v>
      </c>
      <c r="C1308" s="76">
        <v>44754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324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2773</v>
      </c>
      <c r="B1357" s="157" t="s">
        <v>1442</v>
      </c>
      <c r="C1357" s="76">
        <v>44754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hidden="1" x14ac:dyDescent="0.35">
      <c r="A1358" s="249" t="s">
        <v>2773</v>
      </c>
      <c r="B1358" s="157" t="s">
        <v>1442</v>
      </c>
      <c r="C1358" s="76">
        <v>44754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2711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2711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2711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2711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hidden="1" x14ac:dyDescent="0.35">
      <c r="A1428" s="249" t="s">
        <v>2780</v>
      </c>
      <c r="B1428" s="161" t="s">
        <v>1596</v>
      </c>
      <c r="C1428" s="76">
        <v>44755</v>
      </c>
      <c r="D1428" s="180"/>
      <c r="E1428" s="86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hidden="1" x14ac:dyDescent="0.35">
      <c r="A1429" s="249" t="s">
        <v>2780</v>
      </c>
      <c r="B1429" s="161" t="s">
        <v>1596</v>
      </c>
      <c r="C1429" s="76">
        <v>44755</v>
      </c>
      <c r="D1429" s="180"/>
      <c r="E1429" s="86" t="s">
        <v>39</v>
      </c>
      <c r="F1429" s="88">
        <v>240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35">
      <c r="A1495" s="249" t="s">
        <v>2780</v>
      </c>
      <c r="B1495" s="161" t="s">
        <v>1596</v>
      </c>
      <c r="C1495" s="76">
        <v>44755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hidden="1" x14ac:dyDescent="0.35">
      <c r="A1496" s="249" t="s">
        <v>2780</v>
      </c>
      <c r="B1496" s="161" t="s">
        <v>1596</v>
      </c>
      <c r="C1496" s="76">
        <v>44755</v>
      </c>
      <c r="D1496" s="180"/>
      <c r="E1496" s="86" t="s">
        <v>18</v>
      </c>
      <c r="F1496" s="88">
        <v>360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2584</v>
      </c>
      <c r="B1576" s="250" t="s">
        <v>2462</v>
      </c>
      <c r="C1576" s="76">
        <v>44690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3</v>
      </c>
      <c r="L1576" s="78"/>
      <c r="M1576" s="80"/>
      <c r="N1576" s="282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2584</v>
      </c>
      <c r="B1624" s="250" t="s">
        <v>2462</v>
      </c>
      <c r="C1624" s="76">
        <v>44690</v>
      </c>
      <c r="D1624" s="180"/>
      <c r="E1624" s="161" t="s">
        <v>18</v>
      </c>
      <c r="F1624" s="88">
        <v>360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82"/>
      <c r="O1624" s="81"/>
    </row>
    <row r="1625" spans="1:15" hidden="1" x14ac:dyDescent="0.35">
      <c r="A1625" s="249" t="s">
        <v>2584</v>
      </c>
      <c r="B1625" s="250" t="s">
        <v>2462</v>
      </c>
      <c r="C1625" s="76">
        <v>44690</v>
      </c>
      <c r="D1625" s="207"/>
      <c r="E1625" s="86" t="s">
        <v>28</v>
      </c>
      <c r="F1625" s="72">
        <v>240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82"/>
      <c r="O1625" s="81"/>
    </row>
    <row r="1626" spans="1:15" hidden="1" x14ac:dyDescent="0.35">
      <c r="A1626" s="249" t="s">
        <v>2584</v>
      </c>
      <c r="B1626" s="250" t="s">
        <v>2462</v>
      </c>
      <c r="C1626" s="76">
        <v>44690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82"/>
      <c r="O1626" s="81"/>
    </row>
    <row r="1627" spans="1:15" hidden="1" x14ac:dyDescent="0.35">
      <c r="A1627" s="249" t="s">
        <v>2776</v>
      </c>
      <c r="B1627" s="161" t="s">
        <v>1687</v>
      </c>
      <c r="C1627" s="76">
        <v>44755</v>
      </c>
      <c r="D1627" s="180"/>
      <c r="E1627" s="161" t="s">
        <v>25</v>
      </c>
      <c r="F1627" s="88">
        <v>360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36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2776</v>
      </c>
      <c r="B2109" s="161" t="s">
        <v>1687</v>
      </c>
      <c r="C2109" s="76">
        <v>44755</v>
      </c>
      <c r="D2109" s="180"/>
      <c r="E2109" s="161" t="s">
        <v>28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36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2776</v>
      </c>
      <c r="B2233" s="161" t="s">
        <v>1687</v>
      </c>
      <c r="C2233" s="76">
        <v>44755</v>
      </c>
      <c r="D2233" s="180"/>
      <c r="E2233" s="86" t="s">
        <v>18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36"/>
      <c r="O2233" s="81"/>
    </row>
    <row r="2234" spans="1:15" x14ac:dyDescent="0.35">
      <c r="A2234" s="249" t="s">
        <v>2776</v>
      </c>
      <c r="B2234" s="161" t="s">
        <v>1687</v>
      </c>
      <c r="C2234" s="76">
        <v>44755</v>
      </c>
      <c r="D2234" s="180"/>
      <c r="E2234" s="86" t="s">
        <v>39</v>
      </c>
      <c r="F2234" s="88">
        <v>240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36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2621</v>
      </c>
      <c r="B2253" s="9" t="s">
        <v>2182</v>
      </c>
      <c r="C2253" s="76">
        <v>44698</v>
      </c>
      <c r="D2253" s="180"/>
      <c r="E2253" s="161" t="s">
        <v>28</v>
      </c>
      <c r="F2253" s="88">
        <v>240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2621</v>
      </c>
      <c r="B2255" s="9" t="s">
        <v>2182</v>
      </c>
      <c r="C2255" s="76">
        <v>44698</v>
      </c>
      <c r="D2255" s="180"/>
      <c r="E2255" s="161" t="s">
        <v>39</v>
      </c>
      <c r="F2255" s="88">
        <v>240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82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>5000*0.3/4</f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>5000*0.3/4</f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>5000*0.3/4</f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>5000*0.3/4</f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>5000*0.3/4</f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>5000*0.3/4</f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2621</v>
      </c>
      <c r="B3214" s="9" t="s">
        <v>2182</v>
      </c>
      <c r="C3214" s="76">
        <v>44698</v>
      </c>
      <c r="D3214" s="180"/>
      <c r="E3214" s="86" t="s">
        <v>25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0</v>
      </c>
      <c r="L3214" s="78"/>
      <c r="M3214" s="80"/>
      <c r="N3214" s="282"/>
      <c r="O3214" s="81"/>
    </row>
    <row r="3215" spans="1:15" hidden="1" x14ac:dyDescent="0.35">
      <c r="A3215" s="249" t="s">
        <v>2621</v>
      </c>
      <c r="B3215" s="9" t="s">
        <v>2182</v>
      </c>
      <c r="C3215" s="76">
        <v>44698</v>
      </c>
      <c r="D3215" s="180"/>
      <c r="E3215" s="161" t="s">
        <v>18</v>
      </c>
      <c r="F3215" s="88">
        <v>600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1</v>
      </c>
      <c r="L3215" s="78"/>
      <c r="M3215" s="80"/>
      <c r="N3215" s="282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249" t="s">
        <v>2178</v>
      </c>
      <c r="B3343" s="151" t="s">
        <v>1620</v>
      </c>
      <c r="C3343" s="270">
        <v>44568</v>
      </c>
      <c r="D3343" s="180"/>
      <c r="E3343" s="157" t="s">
        <v>18</v>
      </c>
      <c r="F3343" s="88">
        <v>360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0</v>
      </c>
      <c r="L3343" s="78"/>
      <c r="M3343" s="80"/>
      <c r="N3343" s="265"/>
      <c r="O3343" s="81"/>
    </row>
    <row r="3344" spans="1:15" hidden="1" x14ac:dyDescent="0.35">
      <c r="A3344" s="249" t="s">
        <v>2178</v>
      </c>
      <c r="B3344" s="151" t="s">
        <v>1620</v>
      </c>
      <c r="C3344" s="270">
        <v>44568</v>
      </c>
      <c r="D3344" s="180"/>
      <c r="E3344" s="157" t="s">
        <v>28</v>
      </c>
      <c r="F3344" s="88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2178</v>
      </c>
      <c r="B3410" s="151" t="s">
        <v>1620</v>
      </c>
      <c r="C3410" s="270">
        <v>44568</v>
      </c>
      <c r="D3410" s="180"/>
      <c r="E3410" s="157" t="s">
        <v>39</v>
      </c>
      <c r="F3410" s="88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1</v>
      </c>
      <c r="L3410" s="78"/>
      <c r="M3410" s="80"/>
      <c r="N3410" s="265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2178</v>
      </c>
      <c r="B3414" s="322" t="s">
        <v>1620</v>
      </c>
      <c r="C3414" s="270">
        <v>44568</v>
      </c>
      <c r="D3414" s="180"/>
      <c r="E3414" s="157" t="s">
        <v>25</v>
      </c>
      <c r="F3414" s="88">
        <v>360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35">
      <c r="A3415" s="249" t="s">
        <v>2754</v>
      </c>
      <c r="B3415" s="322" t="s">
        <v>1691</v>
      </c>
      <c r="C3415" s="76">
        <v>44749</v>
      </c>
      <c r="D3415" s="180"/>
      <c r="E3415" s="86" t="s">
        <v>28</v>
      </c>
      <c r="F3415" s="88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324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2754</v>
      </c>
      <c r="B3474" s="151" t="s">
        <v>1691</v>
      </c>
      <c r="C3474" s="76">
        <v>44749</v>
      </c>
      <c r="D3474" s="180"/>
      <c r="E3474" s="86" t="s">
        <v>39</v>
      </c>
      <c r="F3474" s="88">
        <v>240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324"/>
      <c r="O3474" s="81"/>
    </row>
    <row r="3475" spans="1:15" hidden="1" x14ac:dyDescent="0.35">
      <c r="A3475" s="249" t="s">
        <v>2754</v>
      </c>
      <c r="B3475" s="151" t="s">
        <v>1691</v>
      </c>
      <c r="C3475" s="76">
        <v>44749</v>
      </c>
      <c r="D3475" s="180"/>
      <c r="E3475" s="86" t="s">
        <v>18</v>
      </c>
      <c r="F3475" s="88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324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2754</v>
      </c>
      <c r="B3523" s="322" t="s">
        <v>1691</v>
      </c>
      <c r="C3523" s="76">
        <v>44749</v>
      </c>
      <c r="D3523" s="180"/>
      <c r="E3523" s="86" t="s">
        <v>25</v>
      </c>
      <c r="F3523" s="88">
        <v>360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52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324"/>
      <c r="O3523" s="81"/>
    </row>
    <row r="3524" spans="1:15" hidden="1" x14ac:dyDescent="0.35">
      <c r="A3524" s="159" t="s">
        <v>1675</v>
      </c>
      <c r="B3524" s="150" t="s">
        <v>1644</v>
      </c>
      <c r="C3524" s="89">
        <v>44383</v>
      </c>
      <c r="D3524" s="235"/>
      <c r="E3524" s="157" t="s">
        <v>28</v>
      </c>
      <c r="F3524" s="77">
        <v>600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3</v>
      </c>
      <c r="L3524" s="78"/>
      <c r="M3524" s="80"/>
      <c r="N3524" s="220"/>
      <c r="O3524" s="81"/>
    </row>
    <row r="3525" spans="1:15" hidden="1" x14ac:dyDescent="0.35">
      <c r="A3525" s="249" t="s">
        <v>2165</v>
      </c>
      <c r="B3525" s="150" t="s">
        <v>2113</v>
      </c>
      <c r="C3525" s="76">
        <v>44565</v>
      </c>
      <c r="D3525" s="235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65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2165</v>
      </c>
      <c r="B3567" s="9" t="s">
        <v>2113</v>
      </c>
      <c r="C3567" s="76">
        <v>44565</v>
      </c>
      <c r="D3567" s="235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65"/>
      <c r="O3567" s="81"/>
    </row>
    <row r="3568" spans="1:15" hidden="1" x14ac:dyDescent="0.35">
      <c r="A3568" s="249" t="s">
        <v>2165</v>
      </c>
      <c r="B3568" s="9" t="s">
        <v>2113</v>
      </c>
      <c r="C3568" s="76">
        <v>44565</v>
      </c>
      <c r="D3568" s="235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65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2165</v>
      </c>
      <c r="B3574" s="9" t="s">
        <v>2113</v>
      </c>
      <c r="C3574" s="76">
        <v>44565</v>
      </c>
      <c r="D3574" s="235"/>
      <c r="E3574" s="250" t="s">
        <v>39</v>
      </c>
      <c r="F3574" s="77">
        <v>240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hidden="1" x14ac:dyDescent="0.35">
      <c r="A3575" s="249" t="s">
        <v>2653</v>
      </c>
      <c r="B3575" s="250" t="s">
        <v>1117</v>
      </c>
      <c r="C3575" s="76">
        <v>44706</v>
      </c>
      <c r="D3575" s="264"/>
      <c r="E3575" s="263" t="s">
        <v>87</v>
      </c>
      <c r="F3575" s="77">
        <v>200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82"/>
      <c r="O3575" s="81"/>
    </row>
    <row r="3576" spans="1:15" hidden="1" x14ac:dyDescent="0.35">
      <c r="A3576" s="249" t="s">
        <v>2653</v>
      </c>
      <c r="B3576" s="250" t="s">
        <v>1117</v>
      </c>
      <c r="C3576" s="76">
        <v>44706</v>
      </c>
      <c r="D3576" s="264"/>
      <c r="E3576" s="250" t="s">
        <v>2652</v>
      </c>
      <c r="F3576" s="77">
        <v>200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82"/>
      <c r="O3576" s="81"/>
    </row>
    <row r="3577" spans="1:15" hidden="1" x14ac:dyDescent="0.35">
      <c r="A3577" s="249" t="s">
        <v>2653</v>
      </c>
      <c r="B3577" s="313" t="s">
        <v>1040</v>
      </c>
      <c r="C3577" s="76">
        <v>44706</v>
      </c>
      <c r="D3577" s="264"/>
      <c r="E3577" s="250" t="s">
        <v>2021</v>
      </c>
      <c r="F3577" s="77">
        <v>200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hidden="1" x14ac:dyDescent="0.35">
      <c r="A3592" s="249" t="s">
        <v>2653</v>
      </c>
      <c r="B3592" s="250" t="s">
        <v>1040</v>
      </c>
      <c r="C3592" s="76">
        <v>44706</v>
      </c>
      <c r="D3592" s="264"/>
      <c r="E3592" s="250" t="s">
        <v>2039</v>
      </c>
      <c r="F3592" s="77">
        <v>200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82"/>
      <c r="O3592" s="81"/>
    </row>
    <row r="3593" spans="1:15" hidden="1" x14ac:dyDescent="0.35">
      <c r="A3593" s="249" t="s">
        <v>2653</v>
      </c>
      <c r="B3593" s="263" t="s">
        <v>1040</v>
      </c>
      <c r="C3593" s="76">
        <v>44706</v>
      </c>
      <c r="D3593" s="264"/>
      <c r="E3593" s="250" t="s">
        <v>2651</v>
      </c>
      <c r="F3593" s="77">
        <v>200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82"/>
      <c r="O3593" s="81"/>
    </row>
    <row r="3594" spans="1:15" hidden="1" x14ac:dyDescent="0.35">
      <c r="A3594" s="249" t="s">
        <v>2724</v>
      </c>
      <c r="B3594" s="190" t="s">
        <v>1088</v>
      </c>
      <c r="C3594" s="76">
        <v>44727</v>
      </c>
      <c r="D3594" s="235"/>
      <c r="E3594" s="250" t="s">
        <v>2624</v>
      </c>
      <c r="F3594" s="88">
        <v>500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2724</v>
      </c>
      <c r="B3602" s="320" t="s">
        <v>1088</v>
      </c>
      <c r="C3602" s="76">
        <v>44727</v>
      </c>
      <c r="D3602" s="235"/>
      <c r="E3602" s="250" t="s">
        <v>2591</v>
      </c>
      <c r="F3602" s="88">
        <v>500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hidden="1" x14ac:dyDescent="0.35">
      <c r="A3603" s="249" t="s">
        <v>2724</v>
      </c>
      <c r="B3603" s="320" t="s">
        <v>1088</v>
      </c>
      <c r="C3603" s="76">
        <v>44727</v>
      </c>
      <c r="D3603" s="235"/>
      <c r="E3603" s="250" t="s">
        <v>1288</v>
      </c>
      <c r="F3603" s="88">
        <v>500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4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2724</v>
      </c>
      <c r="B3611" s="320" t="s">
        <v>1088</v>
      </c>
      <c r="C3611" s="76">
        <v>44727</v>
      </c>
      <c r="D3611" s="235"/>
      <c r="E3611" s="250" t="s">
        <v>2592</v>
      </c>
      <c r="F3611" s="88">
        <v>500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4"/>
      <c r="O3611" s="81"/>
    </row>
    <row r="3612" spans="1:15" hidden="1" x14ac:dyDescent="0.35">
      <c r="A3612" s="249" t="s">
        <v>2434</v>
      </c>
      <c r="B3612" s="313" t="s">
        <v>1128</v>
      </c>
      <c r="C3612" s="76">
        <v>44659</v>
      </c>
      <c r="D3612" s="264"/>
      <c r="E3612" s="250" t="s">
        <v>28</v>
      </c>
      <c r="F3612" s="77">
        <v>90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3</v>
      </c>
      <c r="L3612" s="78"/>
      <c r="M3612" s="80"/>
      <c r="N3612" s="282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2434</v>
      </c>
      <c r="B3625" s="250" t="s">
        <v>1128</v>
      </c>
      <c r="C3625" s="76">
        <v>44659</v>
      </c>
      <c r="D3625" s="264"/>
      <c r="E3625" s="250" t="s">
        <v>18</v>
      </c>
      <c r="F3625" s="77">
        <v>50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282"/>
      <c r="O3625" s="81"/>
    </row>
    <row r="3626" spans="1:15" hidden="1" x14ac:dyDescent="0.35">
      <c r="A3626" s="249" t="s">
        <v>2434</v>
      </c>
      <c r="B3626" s="250" t="s">
        <v>1128</v>
      </c>
      <c r="C3626" s="76">
        <v>44659</v>
      </c>
      <c r="D3626" s="264"/>
      <c r="E3626" s="250" t="s">
        <v>202</v>
      </c>
      <c r="F3626" s="77">
        <v>50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4</v>
      </c>
      <c r="L3626" s="78"/>
      <c r="M3626" s="80"/>
      <c r="N3626" s="282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2434</v>
      </c>
      <c r="B3646" s="250" t="s">
        <v>1128</v>
      </c>
      <c r="C3646" s="76">
        <v>44659</v>
      </c>
      <c r="D3646" s="264"/>
      <c r="E3646" s="250" t="s">
        <v>245</v>
      </c>
      <c r="F3646" s="77">
        <v>50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4</v>
      </c>
      <c r="L3646" s="78"/>
      <c r="M3646" s="80"/>
      <c r="N3646" s="282"/>
      <c r="O3646" s="81"/>
    </row>
    <row r="3647" spans="1:15" hidden="1" x14ac:dyDescent="0.35">
      <c r="A3647" s="249" t="s">
        <v>2434</v>
      </c>
      <c r="B3647" s="250" t="s">
        <v>1128</v>
      </c>
      <c r="C3647" s="76">
        <v>44659</v>
      </c>
      <c r="D3647" s="264"/>
      <c r="E3647" s="250" t="s">
        <v>79</v>
      </c>
      <c r="F3647" s="77">
        <v>100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0</v>
      </c>
      <c r="L3647" s="78"/>
      <c r="M3647" s="80"/>
      <c r="N3647" s="282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2748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2748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2718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2718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2718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2718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2748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2748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hidden="1" x14ac:dyDescent="0.35">
      <c r="A3696" s="249" t="s">
        <v>2223</v>
      </c>
      <c r="B3696" s="150" t="s">
        <v>1128</v>
      </c>
      <c r="C3696" s="76">
        <v>44604</v>
      </c>
      <c r="D3696" s="264"/>
      <c r="E3696" s="250" t="s">
        <v>39</v>
      </c>
      <c r="F3696" s="77">
        <v>50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251"/>
    </row>
    <row r="3697" spans="1:15" hidden="1" x14ac:dyDescent="0.35">
      <c r="A3697" s="249" t="s">
        <v>2223</v>
      </c>
      <c r="B3697" s="150" t="s">
        <v>1992</v>
      </c>
      <c r="C3697" s="76">
        <v>44604</v>
      </c>
      <c r="D3697" s="264"/>
      <c r="E3697" s="250" t="s">
        <v>39</v>
      </c>
      <c r="F3697" s="77">
        <v>50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65"/>
      <c r="O3697" s="81"/>
    </row>
    <row r="3698" spans="1:15" hidden="1" x14ac:dyDescent="0.35">
      <c r="A3698" s="249" t="s">
        <v>2513</v>
      </c>
      <c r="B3698" s="313" t="s">
        <v>1043</v>
      </c>
      <c r="C3698" s="76">
        <v>44674</v>
      </c>
      <c r="D3698" s="264"/>
      <c r="E3698" s="250" t="s">
        <v>245</v>
      </c>
      <c r="F3698" s="77">
        <v>50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82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2731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2731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2513</v>
      </c>
      <c r="B3713" s="250" t="s">
        <v>1043</v>
      </c>
      <c r="C3713" s="76">
        <v>44674</v>
      </c>
      <c r="D3713" s="264"/>
      <c r="E3713" s="250" t="s">
        <v>79</v>
      </c>
      <c r="F3713" s="77">
        <v>50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2223</v>
      </c>
      <c r="B3721" s="9" t="s">
        <v>1043</v>
      </c>
      <c r="C3721" s="76">
        <v>44604</v>
      </c>
      <c r="D3721" s="264"/>
      <c r="E3721" s="250" t="s">
        <v>39</v>
      </c>
      <c r="F3721" s="77">
        <v>50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65"/>
      <c r="O3721" s="81"/>
    </row>
    <row r="3722" spans="1:15" x14ac:dyDescent="0.35">
      <c r="A3722" s="249" t="s">
        <v>2804</v>
      </c>
      <c r="B3722" s="9" t="s">
        <v>256</v>
      </c>
      <c r="C3722" s="76">
        <v>44762</v>
      </c>
      <c r="D3722" s="264"/>
      <c r="E3722" s="250" t="s">
        <v>99</v>
      </c>
      <c r="F3722" s="77">
        <v>600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7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324"/>
      <c r="O3722" s="81"/>
    </row>
    <row r="3723" spans="1:15" hidden="1" x14ac:dyDescent="0.35">
      <c r="A3723" s="249" t="s">
        <v>2698</v>
      </c>
      <c r="B3723" s="9" t="s">
        <v>198</v>
      </c>
      <c r="C3723" s="76">
        <v>44722</v>
      </c>
      <c r="D3723" s="264"/>
      <c r="E3723" s="250" t="s">
        <v>99</v>
      </c>
      <c r="F3723" s="77">
        <v>1200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324"/>
      <c r="O3723" s="81"/>
    </row>
    <row r="3724" spans="1:15" hidden="1" x14ac:dyDescent="0.35">
      <c r="A3724" s="249" t="s">
        <v>2688</v>
      </c>
      <c r="B3724" s="9" t="s">
        <v>789</v>
      </c>
      <c r="C3724" s="76">
        <v>44721</v>
      </c>
      <c r="D3724" s="180"/>
      <c r="E3724" s="161" t="s">
        <v>18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324"/>
      <c r="O3724" s="81"/>
    </row>
    <row r="3725" spans="1:15" hidden="1" x14ac:dyDescent="0.35">
      <c r="A3725" s="249" t="s">
        <v>2688</v>
      </c>
      <c r="B3725" s="9" t="s">
        <v>789</v>
      </c>
      <c r="C3725" s="76">
        <v>44721</v>
      </c>
      <c r="D3725" s="235"/>
      <c r="E3725" s="250" t="s">
        <v>25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324"/>
      <c r="O3725" s="81"/>
    </row>
    <row r="3726" spans="1:15" hidden="1" x14ac:dyDescent="0.35">
      <c r="A3726" s="249" t="s">
        <v>2688</v>
      </c>
      <c r="B3726" s="9" t="s">
        <v>789</v>
      </c>
      <c r="C3726" s="76">
        <v>44721</v>
      </c>
      <c r="D3726" s="235"/>
      <c r="E3726" s="157" t="s">
        <v>28</v>
      </c>
      <c r="F3726" s="77">
        <v>120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324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2688</v>
      </c>
      <c r="B3732" s="150" t="s">
        <v>789</v>
      </c>
      <c r="C3732" s="76">
        <v>44721</v>
      </c>
      <c r="D3732" s="180"/>
      <c r="E3732" s="161" t="s">
        <v>39</v>
      </c>
      <c r="F3732" s="77">
        <v>120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324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2708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2708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2708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2708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2418</v>
      </c>
      <c r="B3773" s="261" t="s">
        <v>2419</v>
      </c>
      <c r="C3773" s="76">
        <v>44655</v>
      </c>
      <c r="D3773" s="207"/>
      <c r="E3773" s="87" t="s">
        <v>18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0</v>
      </c>
      <c r="L3773" s="78"/>
      <c r="M3773" s="80"/>
      <c r="N3773" s="282"/>
      <c r="O3773" s="81"/>
    </row>
    <row r="3774" spans="1:15" hidden="1" x14ac:dyDescent="0.35">
      <c r="A3774" s="249" t="s">
        <v>2418</v>
      </c>
      <c r="B3774" s="261" t="s">
        <v>2419</v>
      </c>
      <c r="C3774" s="76">
        <v>44655</v>
      </c>
      <c r="D3774" s="180"/>
      <c r="E3774" s="86" t="s">
        <v>25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2</v>
      </c>
      <c r="L3774" s="78"/>
      <c r="M3774" s="80"/>
      <c r="N3774" s="282"/>
      <c r="O3774" s="81"/>
    </row>
    <row r="3775" spans="1:15" hidden="1" x14ac:dyDescent="0.35">
      <c r="A3775" s="249" t="s">
        <v>2418</v>
      </c>
      <c r="B3775" s="261" t="s">
        <v>2419</v>
      </c>
      <c r="C3775" s="76">
        <v>44655</v>
      </c>
      <c r="D3775" s="180"/>
      <c r="E3775" s="86" t="s">
        <v>39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3</v>
      </c>
      <c r="L3775" s="78"/>
      <c r="M3775" s="80"/>
      <c r="N3775" s="282"/>
      <c r="O3775" s="81"/>
    </row>
    <row r="3776" spans="1:15" hidden="1" x14ac:dyDescent="0.35">
      <c r="A3776" s="249" t="s">
        <v>2418</v>
      </c>
      <c r="B3776" s="261" t="s">
        <v>2419</v>
      </c>
      <c r="C3776" s="76">
        <v>44655</v>
      </c>
      <c r="D3776" s="180"/>
      <c r="E3776" s="86" t="s">
        <v>28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282"/>
      <c r="O3776" s="81"/>
    </row>
    <row r="3777" spans="1:15" hidden="1" x14ac:dyDescent="0.35">
      <c r="A3777" s="249" t="s">
        <v>2756</v>
      </c>
      <c r="B3777" s="151" t="s">
        <v>1198</v>
      </c>
      <c r="C3777" s="76">
        <v>44749</v>
      </c>
      <c r="D3777" s="235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4"/>
      <c r="O3777" s="81"/>
    </row>
    <row r="3778" spans="1:15" x14ac:dyDescent="0.35">
      <c r="A3778" s="249" t="s">
        <v>2756</v>
      </c>
      <c r="B3778" s="151" t="s">
        <v>1198</v>
      </c>
      <c r="C3778" s="76">
        <v>44749</v>
      </c>
      <c r="D3778" s="235"/>
      <c r="E3778" s="87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4"/>
      <c r="O3778" s="81"/>
    </row>
    <row r="3779" spans="1:15" hidden="1" x14ac:dyDescent="0.35">
      <c r="A3779" s="249" t="s">
        <v>2756</v>
      </c>
      <c r="B3779" s="151" t="s">
        <v>1198</v>
      </c>
      <c r="C3779" s="76">
        <v>44749</v>
      </c>
      <c r="D3779" s="235"/>
      <c r="E3779" s="86" t="s">
        <v>39</v>
      </c>
      <c r="F3779" s="88">
        <v>240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324"/>
      <c r="O3779" s="81"/>
    </row>
    <row r="3780" spans="1:15" hidden="1" x14ac:dyDescent="0.35">
      <c r="A3780" s="249" t="s">
        <v>2756</v>
      </c>
      <c r="B3780" s="151" t="s">
        <v>1198</v>
      </c>
      <c r="C3780" s="76">
        <v>44749</v>
      </c>
      <c r="D3780" s="235"/>
      <c r="E3780" s="161" t="s">
        <v>28</v>
      </c>
      <c r="F3780" s="88">
        <v>240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324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x14ac:dyDescent="0.35">
      <c r="A3785" s="249" t="s">
        <v>2792</v>
      </c>
      <c r="B3785" s="151" t="s">
        <v>2791</v>
      </c>
      <c r="C3785" s="76">
        <v>44758</v>
      </c>
      <c r="D3785" s="264"/>
      <c r="E3785" s="250" t="s">
        <v>18</v>
      </c>
      <c r="F3785" s="77">
        <v>500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324"/>
      <c r="O3785" s="81"/>
    </row>
    <row r="3786" spans="1:15" hidden="1" x14ac:dyDescent="0.35">
      <c r="A3786" s="249" t="s">
        <v>2792</v>
      </c>
      <c r="B3786" s="151" t="s">
        <v>2791</v>
      </c>
      <c r="C3786" s="76">
        <v>44758</v>
      </c>
      <c r="D3786" s="264"/>
      <c r="E3786" s="250" t="s">
        <v>28</v>
      </c>
      <c r="F3786" s="77">
        <v>500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324"/>
      <c r="O3786" s="81"/>
    </row>
    <row r="3787" spans="1:15" hidden="1" x14ac:dyDescent="0.35">
      <c r="A3787" s="249" t="s">
        <v>2244</v>
      </c>
      <c r="B3787" s="9" t="s">
        <v>1159</v>
      </c>
      <c r="C3787" s="76">
        <v>44613</v>
      </c>
      <c r="D3787" s="264"/>
      <c r="E3787" s="250" t="s">
        <v>28</v>
      </c>
      <c r="F3787" s="77">
        <v>60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65"/>
      <c r="O3787" s="81"/>
    </row>
    <row r="3788" spans="1:15" hidden="1" x14ac:dyDescent="0.35">
      <c r="A3788" s="249" t="s">
        <v>2244</v>
      </c>
      <c r="B3788" s="9" t="s">
        <v>1159</v>
      </c>
      <c r="C3788" s="76">
        <v>44613</v>
      </c>
      <c r="D3788" s="264"/>
      <c r="E3788" s="250" t="s">
        <v>39</v>
      </c>
      <c r="F3788" s="77">
        <v>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65"/>
      <c r="O3788" s="81"/>
    </row>
    <row r="3789" spans="1:15" hidden="1" x14ac:dyDescent="0.35">
      <c r="A3789" s="249" t="s">
        <v>2244</v>
      </c>
      <c r="B3789" s="9" t="s">
        <v>1159</v>
      </c>
      <c r="C3789" s="76">
        <v>44613</v>
      </c>
      <c r="D3789" s="264"/>
      <c r="E3789" s="250" t="s">
        <v>18</v>
      </c>
      <c r="F3789" s="77">
        <v>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65"/>
      <c r="O3789" s="81"/>
    </row>
    <row r="3790" spans="1:15" hidden="1" x14ac:dyDescent="0.35">
      <c r="A3790" s="249" t="s">
        <v>2701</v>
      </c>
      <c r="B3790" s="9" t="s">
        <v>2700</v>
      </c>
      <c r="C3790" s="76">
        <v>44722</v>
      </c>
      <c r="D3790" s="264"/>
      <c r="E3790" s="86" t="s">
        <v>18</v>
      </c>
      <c r="F3790" s="77">
        <v>200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hidden="1" x14ac:dyDescent="0.35">
      <c r="A3791" s="249" t="s">
        <v>2701</v>
      </c>
      <c r="B3791" s="9" t="s">
        <v>2700</v>
      </c>
      <c r="C3791" s="76">
        <v>44722</v>
      </c>
      <c r="D3791" s="264"/>
      <c r="E3791" s="261" t="s">
        <v>28</v>
      </c>
      <c r="F3791" s="77">
        <v>200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2718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hidden="1" x14ac:dyDescent="0.35">
      <c r="A3793" s="249" t="s">
        <v>2718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2718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hidden="1" x14ac:dyDescent="0.35">
      <c r="A3797" s="249" t="s">
        <v>2718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x14ac:dyDescent="0.35">
      <c r="A3798" s="249" t="s">
        <v>2762</v>
      </c>
      <c r="B3798" s="9" t="s">
        <v>1113</v>
      </c>
      <c r="C3798" s="76">
        <v>44750</v>
      </c>
      <c r="D3798" s="235"/>
      <c r="E3798" s="261" t="s">
        <v>18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hidden="1" x14ac:dyDescent="0.35">
      <c r="A3799" s="249" t="s">
        <v>2762</v>
      </c>
      <c r="B3799" s="9" t="s">
        <v>1113</v>
      </c>
      <c r="C3799" s="76">
        <v>44750</v>
      </c>
      <c r="D3799" s="235"/>
      <c r="E3799" s="161" t="s">
        <v>28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2716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2716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2716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2716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hidden="1" x14ac:dyDescent="0.35">
      <c r="A3811" s="249" t="s">
        <v>2686</v>
      </c>
      <c r="B3811" s="250" t="s">
        <v>2610</v>
      </c>
      <c r="C3811" s="76">
        <v>44718</v>
      </c>
      <c r="D3811" s="264"/>
      <c r="E3811" s="250" t="s">
        <v>28</v>
      </c>
      <c r="F3811" s="77">
        <v>600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2786</v>
      </c>
      <c r="B3834" s="261" t="s">
        <v>231</v>
      </c>
      <c r="C3834" s="76">
        <v>44757</v>
      </c>
      <c r="D3834" s="180"/>
      <c r="E3834" s="86" t="s">
        <v>25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324"/>
      <c r="O3834" s="81"/>
    </row>
    <row r="3835" spans="1:15" hidden="1" x14ac:dyDescent="0.35">
      <c r="A3835" s="249" t="s">
        <v>2786</v>
      </c>
      <c r="B3835" s="261" t="s">
        <v>231</v>
      </c>
      <c r="C3835" s="76">
        <v>44757</v>
      </c>
      <c r="D3835" s="180"/>
      <c r="E3835" s="86" t="s">
        <v>39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x14ac:dyDescent="0.35">
      <c r="A3836" s="249" t="s">
        <v>2786</v>
      </c>
      <c r="B3836" s="261" t="s">
        <v>231</v>
      </c>
      <c r="C3836" s="76">
        <v>44757</v>
      </c>
      <c r="D3836" s="180"/>
      <c r="E3836" s="86" t="s">
        <v>28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hidden="1" x14ac:dyDescent="0.35">
      <c r="A3837" s="249" t="s">
        <v>2786</v>
      </c>
      <c r="B3837" s="261" t="s">
        <v>231</v>
      </c>
      <c r="C3837" s="76">
        <v>44757</v>
      </c>
      <c r="D3837" s="180"/>
      <c r="E3837" s="86" t="s">
        <v>18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hidden="1" x14ac:dyDescent="0.35">
      <c r="A3838" s="249" t="s">
        <v>2636</v>
      </c>
      <c r="B3838" s="9" t="s">
        <v>2579</v>
      </c>
      <c r="C3838" s="76">
        <v>44702</v>
      </c>
      <c r="D3838" s="180"/>
      <c r="E3838" s="161" t="s">
        <v>18</v>
      </c>
      <c r="F3838" s="77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65"/>
      <c r="O3838" s="81"/>
    </row>
    <row r="3839" spans="1:15" hidden="1" x14ac:dyDescent="0.35">
      <c r="A3839" s="249" t="s">
        <v>2636</v>
      </c>
      <c r="B3839" s="9" t="s">
        <v>2579</v>
      </c>
      <c r="C3839" s="76">
        <v>44702</v>
      </c>
      <c r="D3839" s="235"/>
      <c r="E3839" s="250" t="s">
        <v>25</v>
      </c>
      <c r="F3839" s="77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65"/>
      <c r="O3839" s="81"/>
    </row>
    <row r="3840" spans="1:15" hidden="1" x14ac:dyDescent="0.35">
      <c r="A3840" s="249" t="s">
        <v>2636</v>
      </c>
      <c r="B3840" s="9" t="s">
        <v>2579</v>
      </c>
      <c r="C3840" s="76">
        <v>44702</v>
      </c>
      <c r="D3840" s="235"/>
      <c r="E3840" s="157" t="s">
        <v>28</v>
      </c>
      <c r="F3840" s="77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65"/>
      <c r="O3840" s="81"/>
    </row>
    <row r="3841" spans="1:15" hidden="1" x14ac:dyDescent="0.35">
      <c r="A3841" s="249" t="s">
        <v>2636</v>
      </c>
      <c r="B3841" s="9" t="s">
        <v>2579</v>
      </c>
      <c r="C3841" s="76">
        <v>44702</v>
      </c>
      <c r="D3841" s="180"/>
      <c r="E3841" s="161" t="s">
        <v>39</v>
      </c>
      <c r="F3841" s="77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265"/>
      <c r="O3841" s="81"/>
    </row>
    <row r="3842" spans="1:15" hidden="1" x14ac:dyDescent="0.35">
      <c r="A3842" s="249" t="s">
        <v>2612</v>
      </c>
      <c r="B3842" s="9" t="s">
        <v>2553</v>
      </c>
      <c r="C3842" s="76">
        <v>44696</v>
      </c>
      <c r="D3842" s="264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82"/>
      <c r="O3842" s="81"/>
    </row>
    <row r="3843" spans="1:15" hidden="1" x14ac:dyDescent="0.35">
      <c r="A3843" s="249" t="s">
        <v>2612</v>
      </c>
      <c r="B3843" s="9" t="s">
        <v>2553</v>
      </c>
      <c r="C3843" s="76">
        <v>44696</v>
      </c>
      <c r="D3843" s="264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82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2612</v>
      </c>
      <c r="B3856" s="9" t="s">
        <v>2553</v>
      </c>
      <c r="C3856" s="76">
        <v>44696</v>
      </c>
      <c r="D3856" s="264"/>
      <c r="E3856" s="86" t="s">
        <v>18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82"/>
      <c r="O3856" s="81"/>
    </row>
    <row r="3857" spans="1:15" hidden="1" x14ac:dyDescent="0.35">
      <c r="A3857" s="249" t="s">
        <v>2612</v>
      </c>
      <c r="B3857" s="9" t="s">
        <v>2553</v>
      </c>
      <c r="C3857" s="76">
        <v>44696</v>
      </c>
      <c r="D3857" s="264"/>
      <c r="E3857" s="261" t="s">
        <v>25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282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2733</v>
      </c>
      <c r="B3899" s="151" t="s">
        <v>2625</v>
      </c>
      <c r="C3899" s="76">
        <v>44739</v>
      </c>
      <c r="D3899" s="180"/>
      <c r="E3899" s="86" t="s">
        <v>28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324"/>
      <c r="O3899" s="81"/>
    </row>
    <row r="3900" spans="1:15" hidden="1" x14ac:dyDescent="0.35">
      <c r="A3900" s="249" t="s">
        <v>2733</v>
      </c>
      <c r="B3900" s="151" t="s">
        <v>2625</v>
      </c>
      <c r="C3900" s="76">
        <v>44739</v>
      </c>
      <c r="D3900" s="180"/>
      <c r="E3900" s="86" t="s">
        <v>39</v>
      </c>
      <c r="F3900" s="88">
        <v>240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324"/>
      <c r="O3900" s="81"/>
    </row>
    <row r="3901" spans="1:15" hidden="1" x14ac:dyDescent="0.35">
      <c r="A3901" s="249" t="s">
        <v>2733</v>
      </c>
      <c r="B3901" s="151" t="s">
        <v>2625</v>
      </c>
      <c r="C3901" s="76">
        <v>44739</v>
      </c>
      <c r="D3901" s="180"/>
      <c r="E3901" s="161" t="s">
        <v>25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324"/>
      <c r="O3901" s="81"/>
    </row>
    <row r="3902" spans="1:15" hidden="1" x14ac:dyDescent="0.35">
      <c r="A3902" s="249" t="s">
        <v>2733</v>
      </c>
      <c r="B3902" s="151" t="s">
        <v>2625</v>
      </c>
      <c r="C3902" s="76">
        <v>44739</v>
      </c>
      <c r="D3902" s="180"/>
      <c r="E3902" s="86" t="s">
        <v>18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324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25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hidden="1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18</v>
      </c>
      <c r="F3929" s="77">
        <v>360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hidden="1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28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hidden="1" x14ac:dyDescent="0.35">
      <c r="A3931" s="249" t="s">
        <v>2628</v>
      </c>
      <c r="B3931" s="9" t="s">
        <v>2564</v>
      </c>
      <c r="C3931" s="76">
        <v>44700</v>
      </c>
      <c r="D3931" s="235"/>
      <c r="E3931" s="250" t="s">
        <v>39</v>
      </c>
      <c r="F3931" s="77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82"/>
      <c r="O3931" s="81"/>
    </row>
    <row r="3932" spans="1:15" hidden="1" x14ac:dyDescent="0.35">
      <c r="A3932" s="159" t="s">
        <v>1839</v>
      </c>
      <c r="B3932" s="9" t="s">
        <v>17</v>
      </c>
      <c r="C3932" s="89">
        <v>44471</v>
      </c>
      <c r="D3932" s="235"/>
      <c r="E3932" s="86" t="s">
        <v>28</v>
      </c>
      <c r="F3932" s="88">
        <v>240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251"/>
    </row>
    <row r="3933" spans="1:15" hidden="1" x14ac:dyDescent="0.35">
      <c r="A3933" s="159" t="s">
        <v>1839</v>
      </c>
      <c r="B3933" s="9" t="s">
        <v>17</v>
      </c>
      <c r="C3933" s="89">
        <v>44471</v>
      </c>
      <c r="D3933" s="235"/>
      <c r="E3933" s="86" t="s">
        <v>39</v>
      </c>
      <c r="F3933" s="88">
        <v>240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81"/>
    </row>
    <row r="3934" spans="1:15" hidden="1" x14ac:dyDescent="0.35">
      <c r="A3934" s="159" t="s">
        <v>1839</v>
      </c>
      <c r="B3934" s="9" t="s">
        <v>17</v>
      </c>
      <c r="C3934" s="89">
        <v>44471</v>
      </c>
      <c r="D3934" s="235"/>
      <c r="E3934" s="161" t="s">
        <v>18</v>
      </c>
      <c r="F3934" s="88">
        <v>360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hidden="1" x14ac:dyDescent="0.35">
      <c r="A3935" s="159" t="s">
        <v>1839</v>
      </c>
      <c r="B3935" s="9" t="s">
        <v>17</v>
      </c>
      <c r="C3935" s="89">
        <v>44471</v>
      </c>
      <c r="D3935" s="235"/>
      <c r="E3935" s="86" t="s">
        <v>25</v>
      </c>
      <c r="F3935" s="88">
        <v>360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81"/>
    </row>
    <row r="3936" spans="1:15" hidden="1" x14ac:dyDescent="0.35">
      <c r="A3936" s="159" t="s">
        <v>1837</v>
      </c>
      <c r="B3936" s="161" t="s">
        <v>81</v>
      </c>
      <c r="C3936" s="89">
        <v>44471</v>
      </c>
      <c r="D3936" s="180"/>
      <c r="E3936" s="161" t="s">
        <v>25</v>
      </c>
      <c r="F3936" s="88">
        <v>360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24"/>
      <c r="O3936" s="25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159" t="s">
        <v>1837</v>
      </c>
      <c r="B3943" s="321" t="s">
        <v>81</v>
      </c>
      <c r="C3943" s="89">
        <v>44471</v>
      </c>
      <c r="D3943" s="180"/>
      <c r="E3943" s="161" t="s">
        <v>18</v>
      </c>
      <c r="F3943" s="88">
        <v>360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224"/>
      <c r="O3943" s="251"/>
    </row>
    <row r="3944" spans="1:15" hidden="1" x14ac:dyDescent="0.35">
      <c r="A3944" s="159" t="s">
        <v>1837</v>
      </c>
      <c r="B3944" s="321" t="s">
        <v>81</v>
      </c>
      <c r="C3944" s="89">
        <v>44471</v>
      </c>
      <c r="D3944" s="180"/>
      <c r="E3944" s="86" t="s">
        <v>39</v>
      </c>
      <c r="F3944" s="88">
        <v>240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24"/>
      <c r="O3944" s="81"/>
    </row>
    <row r="3945" spans="1:15" hidden="1" x14ac:dyDescent="0.35">
      <c r="A3945" s="159" t="s">
        <v>1837</v>
      </c>
      <c r="B3945" s="161" t="s">
        <v>81</v>
      </c>
      <c r="C3945" s="89">
        <v>44471</v>
      </c>
      <c r="D3945" s="180"/>
      <c r="E3945" s="86" t="s">
        <v>28</v>
      </c>
      <c r="F3945" s="88">
        <v>240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249" t="s">
        <v>2781</v>
      </c>
      <c r="B3947" s="151" t="s">
        <v>1060</v>
      </c>
      <c r="C3947" s="76">
        <v>44756</v>
      </c>
      <c r="D3947" s="180"/>
      <c r="E3947" s="86" t="s">
        <v>39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324"/>
      <c r="O3947" s="81"/>
    </row>
    <row r="3948" spans="1:15" hidden="1" x14ac:dyDescent="0.35">
      <c r="A3948" s="249" t="s">
        <v>2781</v>
      </c>
      <c r="B3948" s="151" t="s">
        <v>1060</v>
      </c>
      <c r="C3948" s="76">
        <v>44756</v>
      </c>
      <c r="D3948" s="180"/>
      <c r="E3948" s="86" t="s">
        <v>28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4"/>
      <c r="O3948" s="81"/>
    </row>
    <row r="3949" spans="1:15" x14ac:dyDescent="0.35">
      <c r="A3949" s="249" t="s">
        <v>2781</v>
      </c>
      <c r="B3949" s="151" t="s">
        <v>1060</v>
      </c>
      <c r="C3949" s="76">
        <v>44756</v>
      </c>
      <c r="D3949" s="180"/>
      <c r="E3949" s="161" t="s">
        <v>25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249" t="s">
        <v>2781</v>
      </c>
      <c r="B3951" s="151" t="s">
        <v>1060</v>
      </c>
      <c r="C3951" s="76">
        <v>44756</v>
      </c>
      <c r="D3951" s="180"/>
      <c r="E3951" s="86" t="s">
        <v>18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324"/>
      <c r="O3951" s="81"/>
    </row>
    <row r="3952" spans="1:15" hidden="1" x14ac:dyDescent="0.35">
      <c r="A3952" s="249" t="s">
        <v>2390</v>
      </c>
      <c r="B3952" s="9" t="s">
        <v>2389</v>
      </c>
      <c r="C3952" s="76">
        <v>44649</v>
      </c>
      <c r="D3952" s="264"/>
      <c r="E3952" s="157" t="s">
        <v>18</v>
      </c>
      <c r="F3952" s="88">
        <v>360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282"/>
      <c r="O3952" s="81"/>
    </row>
    <row r="3953" spans="1:15" hidden="1" x14ac:dyDescent="0.35">
      <c r="A3953" s="249" t="s">
        <v>2390</v>
      </c>
      <c r="B3953" s="151" t="s">
        <v>2389</v>
      </c>
      <c r="C3953" s="76">
        <v>44649</v>
      </c>
      <c r="D3953" s="264"/>
      <c r="E3953" s="157" t="s">
        <v>28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282"/>
      <c r="O3953" s="81"/>
    </row>
    <row r="3954" spans="1:15" hidden="1" x14ac:dyDescent="0.35">
      <c r="A3954" s="249" t="s">
        <v>2390</v>
      </c>
      <c r="B3954" s="151" t="s">
        <v>2389</v>
      </c>
      <c r="C3954" s="76">
        <v>44649</v>
      </c>
      <c r="D3954" s="264"/>
      <c r="E3954" s="157" t="s">
        <v>39</v>
      </c>
      <c r="F3954" s="88">
        <v>240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1</v>
      </c>
      <c r="L3954" s="78"/>
      <c r="M3954" s="80"/>
      <c r="N3954" s="282"/>
      <c r="O3954" s="81"/>
    </row>
    <row r="3955" spans="1:15" hidden="1" x14ac:dyDescent="0.35">
      <c r="A3955" s="249" t="s">
        <v>2390</v>
      </c>
      <c r="B3955" s="9" t="s">
        <v>2389</v>
      </c>
      <c r="C3955" s="76">
        <v>44649</v>
      </c>
      <c r="D3955" s="264"/>
      <c r="E3955" s="157" t="s">
        <v>25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8</v>
      </c>
      <c r="L3955" s="78"/>
      <c r="M3955" s="80"/>
      <c r="N3955" s="282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2712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hidden="1" x14ac:dyDescent="0.35">
      <c r="A3978" s="249" t="s">
        <v>2793</v>
      </c>
      <c r="B3978" s="313" t="s">
        <v>433</v>
      </c>
      <c r="C3978" s="76">
        <v>44758</v>
      </c>
      <c r="D3978" s="264"/>
      <c r="E3978" s="250" t="s">
        <v>1900</v>
      </c>
      <c r="F3978" s="77">
        <v>300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4"/>
      <c r="O3978" s="81"/>
    </row>
    <row r="3979" spans="1:15" hidden="1" x14ac:dyDescent="0.35">
      <c r="A3979" s="249" t="s">
        <v>2793</v>
      </c>
      <c r="B3979" s="313" t="s">
        <v>433</v>
      </c>
      <c r="C3979" s="76">
        <v>44758</v>
      </c>
      <c r="D3979" s="264"/>
      <c r="E3979" s="250" t="s">
        <v>1918</v>
      </c>
      <c r="F3979" s="77">
        <v>100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324"/>
      <c r="O3979" s="81"/>
    </row>
    <row r="3980" spans="1:15" hidden="1" x14ac:dyDescent="0.35">
      <c r="A3980" s="249" t="s">
        <v>2749</v>
      </c>
      <c r="B3980" s="151" t="s">
        <v>433</v>
      </c>
      <c r="C3980" s="76">
        <v>44746</v>
      </c>
      <c r="D3980" s="264"/>
      <c r="E3980" s="250" t="s">
        <v>18</v>
      </c>
      <c r="F3980" s="77">
        <v>300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324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hidden="1" x14ac:dyDescent="0.35">
      <c r="A3982" s="249" t="s">
        <v>2749</v>
      </c>
      <c r="B3982" s="322" t="s">
        <v>433</v>
      </c>
      <c r="C3982" s="76">
        <v>44746</v>
      </c>
      <c r="D3982" s="264"/>
      <c r="E3982" s="250" t="s">
        <v>1394</v>
      </c>
      <c r="F3982" s="77">
        <v>300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4"/>
      <c r="O3982" s="81"/>
    </row>
    <row r="3983" spans="1:15" hidden="1" x14ac:dyDescent="0.35">
      <c r="A3983" s="249" t="s">
        <v>2749</v>
      </c>
      <c r="B3983" s="322" t="s">
        <v>433</v>
      </c>
      <c r="C3983" s="76">
        <v>44746</v>
      </c>
      <c r="D3983" s="264"/>
      <c r="E3983" s="250" t="s">
        <v>79</v>
      </c>
      <c r="F3983" s="77">
        <v>300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hidden="1" x14ac:dyDescent="0.35">
      <c r="A3984" s="249" t="s">
        <v>2793</v>
      </c>
      <c r="B3984" s="313" t="s">
        <v>424</v>
      </c>
      <c r="C3984" s="76">
        <v>44758</v>
      </c>
      <c r="D3984" s="264"/>
      <c r="E3984" s="250" t="s">
        <v>1900</v>
      </c>
      <c r="F3984" s="77">
        <v>200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hidden="1" x14ac:dyDescent="0.35">
      <c r="A3985" s="249" t="s">
        <v>2793</v>
      </c>
      <c r="B3985" s="313" t="s">
        <v>424</v>
      </c>
      <c r="C3985" s="76">
        <v>44758</v>
      </c>
      <c r="D3985" s="264"/>
      <c r="E3985" s="250" t="s">
        <v>1918</v>
      </c>
      <c r="F3985" s="77">
        <v>300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2710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2710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2710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2710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2749</v>
      </c>
      <c r="B3990" s="322" t="s">
        <v>424</v>
      </c>
      <c r="C3990" s="76">
        <v>44746</v>
      </c>
      <c r="D3990" s="264"/>
      <c r="E3990" s="250" t="s">
        <v>79</v>
      </c>
      <c r="F3990" s="77">
        <v>500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hidden="1" x14ac:dyDescent="0.35">
      <c r="A3991" s="249" t="s">
        <v>2799</v>
      </c>
      <c r="B3991" s="322" t="s">
        <v>429</v>
      </c>
      <c r="C3991" s="76">
        <v>44761</v>
      </c>
      <c r="D3991" s="264"/>
      <c r="E3991" s="250" t="s">
        <v>18</v>
      </c>
      <c r="F3991" s="77">
        <v>500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324"/>
      <c r="O3991" s="81"/>
    </row>
    <row r="3992" spans="1:15" x14ac:dyDescent="0.35">
      <c r="A3992" s="249" t="s">
        <v>2799</v>
      </c>
      <c r="B3992" s="322" t="s">
        <v>429</v>
      </c>
      <c r="C3992" s="76">
        <v>44761</v>
      </c>
      <c r="D3992" s="264"/>
      <c r="E3992" s="250" t="s">
        <v>79</v>
      </c>
      <c r="F3992" s="77">
        <v>500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324"/>
      <c r="O3992" s="81"/>
    </row>
    <row r="3993" spans="1:15" hidden="1" x14ac:dyDescent="0.35">
      <c r="A3993" s="249" t="s">
        <v>2799</v>
      </c>
      <c r="B3993" s="322" t="s">
        <v>429</v>
      </c>
      <c r="C3993" s="76">
        <v>44761</v>
      </c>
      <c r="D3993" s="264"/>
      <c r="E3993" s="250" t="s">
        <v>131</v>
      </c>
      <c r="F3993" s="77">
        <v>300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324"/>
      <c r="O3993" s="81"/>
    </row>
    <row r="3994" spans="1:15" hidden="1" x14ac:dyDescent="0.35">
      <c r="A3994" s="249" t="s">
        <v>2725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hidden="1" x14ac:dyDescent="0.35">
      <c r="A3995" s="249" t="s">
        <v>2799</v>
      </c>
      <c r="B3995" s="322" t="s">
        <v>429</v>
      </c>
      <c r="C3995" s="76">
        <v>44761</v>
      </c>
      <c r="D3995" s="264"/>
      <c r="E3995" s="250" t="s">
        <v>1326</v>
      </c>
      <c r="F3995" s="77">
        <v>300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324"/>
      <c r="O3995" s="81"/>
    </row>
    <row r="3996" spans="1:15" hidden="1" x14ac:dyDescent="0.35">
      <c r="A3996" s="249" t="s">
        <v>2793</v>
      </c>
      <c r="B3996" s="250" t="s">
        <v>429</v>
      </c>
      <c r="C3996" s="76">
        <v>44758</v>
      </c>
      <c r="D3996" s="264"/>
      <c r="E3996" s="250" t="s">
        <v>1900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hidden="1" x14ac:dyDescent="0.35">
      <c r="A3997" s="249" t="s">
        <v>2793</v>
      </c>
      <c r="B3997" s="250" t="s">
        <v>429</v>
      </c>
      <c r="C3997" s="76">
        <v>44758</v>
      </c>
      <c r="D3997" s="264"/>
      <c r="E3997" s="250" t="s">
        <v>1918</v>
      </c>
      <c r="F3997" s="77">
        <v>300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hidden="1" x14ac:dyDescent="0.35">
      <c r="A3998" s="249" t="s">
        <v>2749</v>
      </c>
      <c r="B3998" s="151" t="s">
        <v>429</v>
      </c>
      <c r="C3998" s="76">
        <v>44746</v>
      </c>
      <c r="D3998" s="264"/>
      <c r="E3998" s="250" t="s">
        <v>131</v>
      </c>
      <c r="F3998" s="77">
        <v>300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hidden="1" x14ac:dyDescent="0.35">
      <c r="A3999" s="249" t="s">
        <v>2749</v>
      </c>
      <c r="B3999" s="151" t="s">
        <v>429</v>
      </c>
      <c r="C3999" s="76">
        <v>44746</v>
      </c>
      <c r="D3999" s="264"/>
      <c r="E3999" s="250" t="s">
        <v>18</v>
      </c>
      <c r="F3999" s="77">
        <v>300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hidden="1" x14ac:dyDescent="0.35">
      <c r="A4000" s="249" t="s">
        <v>2749</v>
      </c>
      <c r="B4000" s="151" t="s">
        <v>429</v>
      </c>
      <c r="C4000" s="76">
        <v>44746</v>
      </c>
      <c r="D4000" s="264"/>
      <c r="E4000" s="250" t="s">
        <v>968</v>
      </c>
      <c r="F4000" s="77">
        <v>300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324"/>
      <c r="O4000" s="81"/>
    </row>
    <row r="4001" spans="1:15" hidden="1" x14ac:dyDescent="0.35">
      <c r="A4001" s="249" t="s">
        <v>2759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2759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hidden="1" x14ac:dyDescent="0.35">
      <c r="A4003" s="249" t="s">
        <v>2749</v>
      </c>
      <c r="B4003" s="151" t="s">
        <v>429</v>
      </c>
      <c r="C4003" s="76">
        <v>44746</v>
      </c>
      <c r="D4003" s="264"/>
      <c r="E4003" s="250" t="s">
        <v>1394</v>
      </c>
      <c r="F4003" s="77">
        <v>300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hidden="1" x14ac:dyDescent="0.35">
      <c r="A4004" s="249" t="s">
        <v>2770</v>
      </c>
      <c r="B4004" s="9" t="s">
        <v>1413</v>
      </c>
      <c r="C4004" s="76">
        <v>44753</v>
      </c>
      <c r="D4004" s="235"/>
      <c r="E4004" s="86" t="s">
        <v>28</v>
      </c>
      <c r="F4004" s="88">
        <v>240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x14ac:dyDescent="0.35">
      <c r="A4005" s="249" t="s">
        <v>2770</v>
      </c>
      <c r="B4005" s="9" t="s">
        <v>1413</v>
      </c>
      <c r="C4005" s="76">
        <v>44753</v>
      </c>
      <c r="D4005" s="235"/>
      <c r="E4005" s="86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hidden="1" x14ac:dyDescent="0.35">
      <c r="A4006" s="249" t="s">
        <v>2770</v>
      </c>
      <c r="B4006" s="9" t="s">
        <v>1413</v>
      </c>
      <c r="C4006" s="76">
        <v>44753</v>
      </c>
      <c r="D4006" s="235"/>
      <c r="E4006" s="86" t="s">
        <v>39</v>
      </c>
      <c r="F4006" s="88">
        <v>240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282"/>
      <c r="O4006" s="81"/>
    </row>
    <row r="4007" spans="1:15" hidden="1" x14ac:dyDescent="0.35">
      <c r="A4007" s="249" t="s">
        <v>2770</v>
      </c>
      <c r="B4007" s="9" t="s">
        <v>1413</v>
      </c>
      <c r="C4007" s="76">
        <v>44753</v>
      </c>
      <c r="D4007" s="235"/>
      <c r="E4007" s="86" t="s">
        <v>25</v>
      </c>
      <c r="F4007" s="88">
        <v>360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82"/>
      <c r="O4007" s="81"/>
    </row>
    <row r="4008" spans="1:15" hidden="1" x14ac:dyDescent="0.35">
      <c r="A4008" s="249" t="s">
        <v>2745</v>
      </c>
      <c r="B4008" s="151" t="s">
        <v>1421</v>
      </c>
      <c r="C4008" s="76">
        <v>44742</v>
      </c>
      <c r="D4008" s="180"/>
      <c r="E4008" s="86" t="s">
        <v>39</v>
      </c>
      <c r="F4008" s="88">
        <v>240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x14ac:dyDescent="0.35">
      <c r="A4009" s="249" t="s">
        <v>2745</v>
      </c>
      <c r="B4009" s="151" t="s">
        <v>1421</v>
      </c>
      <c r="C4009" s="76">
        <v>44742</v>
      </c>
      <c r="D4009" s="180"/>
      <c r="E4009" s="86" t="s">
        <v>28</v>
      </c>
      <c r="F4009" s="88">
        <v>240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hidden="1" x14ac:dyDescent="0.35">
      <c r="A4010" s="249" t="s">
        <v>2745</v>
      </c>
      <c r="B4010" s="151" t="s">
        <v>1421</v>
      </c>
      <c r="C4010" s="76">
        <v>44742</v>
      </c>
      <c r="D4010" s="180"/>
      <c r="E4010" s="161" t="s">
        <v>25</v>
      </c>
      <c r="F4010" s="88">
        <v>360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hidden="1" x14ac:dyDescent="0.35">
      <c r="A4011" s="249" t="s">
        <v>2745</v>
      </c>
      <c r="B4011" s="151" t="s">
        <v>1421</v>
      </c>
      <c r="C4011" s="76">
        <v>44742</v>
      </c>
      <c r="D4011" s="180"/>
      <c r="E4011" s="86" t="s">
        <v>18</v>
      </c>
      <c r="F4011" s="88">
        <v>360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x14ac:dyDescent="0.35">
      <c r="A4012" s="249" t="s">
        <v>2732</v>
      </c>
      <c r="B4012" s="9" t="s">
        <v>2258</v>
      </c>
      <c r="C4012" s="76">
        <v>44738</v>
      </c>
      <c r="D4012" s="264"/>
      <c r="E4012" s="161" t="s">
        <v>39</v>
      </c>
      <c r="F4012" s="77">
        <v>3257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4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2623</v>
      </c>
      <c r="B4017" s="150" t="s">
        <v>2065</v>
      </c>
      <c r="C4017" s="76">
        <v>44699</v>
      </c>
      <c r="D4017" s="235"/>
      <c r="E4017" s="250" t="s">
        <v>28</v>
      </c>
      <c r="F4017" s="77">
        <v>600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81"/>
    </row>
    <row r="4018" spans="1:15" hidden="1" x14ac:dyDescent="0.35">
      <c r="A4018" s="249" t="s">
        <v>2623</v>
      </c>
      <c r="B4018" s="9" t="s">
        <v>2065</v>
      </c>
      <c r="C4018" s="76">
        <v>44699</v>
      </c>
      <c r="D4018" s="235"/>
      <c r="E4018" s="250" t="s">
        <v>79</v>
      </c>
      <c r="F4018" s="77">
        <v>576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0</v>
      </c>
      <c r="L4018" s="78"/>
      <c r="M4018" s="80"/>
      <c r="N4018" s="282"/>
      <c r="O4018" s="81"/>
    </row>
    <row r="4019" spans="1:15" hidden="1" x14ac:dyDescent="0.35">
      <c r="A4019" s="249" t="s">
        <v>2623</v>
      </c>
      <c r="B4019" s="9" t="s">
        <v>2065</v>
      </c>
      <c r="C4019" s="76">
        <v>44699</v>
      </c>
      <c r="D4019" s="235"/>
      <c r="E4019" s="250" t="s">
        <v>39</v>
      </c>
      <c r="F4019" s="77">
        <v>480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0</v>
      </c>
      <c r="L4019" s="78"/>
      <c r="M4019" s="80"/>
      <c r="N4019" s="282"/>
      <c r="O4019" s="81"/>
    </row>
    <row r="4020" spans="1:15" hidden="1" x14ac:dyDescent="0.35">
      <c r="A4020" s="249" t="s">
        <v>2623</v>
      </c>
      <c r="B4020" s="9" t="s">
        <v>2065</v>
      </c>
      <c r="C4020" s="76">
        <v>44699</v>
      </c>
      <c r="D4020" s="235"/>
      <c r="E4020" s="250" t="s">
        <v>18</v>
      </c>
      <c r="F4020" s="77">
        <v>576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282"/>
      <c r="O4020" s="81"/>
    </row>
    <row r="4021" spans="1:15" hidden="1" x14ac:dyDescent="0.35">
      <c r="A4021" s="249" t="s">
        <v>2434</v>
      </c>
      <c r="B4021" s="250" t="s">
        <v>2224</v>
      </c>
      <c r="C4021" s="76">
        <v>44659</v>
      </c>
      <c r="D4021" s="264"/>
      <c r="E4021" s="250" t="s">
        <v>28</v>
      </c>
      <c r="F4021" s="77">
        <v>50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1</v>
      </c>
      <c r="L4021" s="78"/>
      <c r="M4021" s="80"/>
      <c r="N4021" s="282"/>
      <c r="O4021" s="81"/>
    </row>
    <row r="4022" spans="1:15" hidden="1" x14ac:dyDescent="0.35">
      <c r="A4022" s="249" t="s">
        <v>2434</v>
      </c>
      <c r="B4022" s="313" t="s">
        <v>2224</v>
      </c>
      <c r="C4022" s="76">
        <v>44659</v>
      </c>
      <c r="D4022" s="264"/>
      <c r="E4022" s="250" t="s">
        <v>18</v>
      </c>
      <c r="F4022" s="77">
        <v>50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15</v>
      </c>
      <c r="L4022" s="78"/>
      <c r="M4022" s="80"/>
      <c r="N4022" s="282"/>
      <c r="O4022" s="8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2734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2746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hidden="1" x14ac:dyDescent="0.35">
      <c r="A4034" s="249" t="s">
        <v>2434</v>
      </c>
      <c r="B4034" s="151" t="s">
        <v>2224</v>
      </c>
      <c r="C4034" s="76">
        <v>44659</v>
      </c>
      <c r="D4034" s="264"/>
      <c r="E4034" s="250" t="s">
        <v>202</v>
      </c>
      <c r="F4034" s="77">
        <v>90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12</v>
      </c>
      <c r="L4034" s="78"/>
      <c r="M4034" s="80"/>
      <c r="N4034" s="282"/>
      <c r="O4034" s="81"/>
    </row>
    <row r="4035" spans="1:15" hidden="1" x14ac:dyDescent="0.35">
      <c r="A4035" s="249" t="s">
        <v>2755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2755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hidden="1" x14ac:dyDescent="0.35">
      <c r="A4038" s="249" t="s">
        <v>2434</v>
      </c>
      <c r="B4038" s="151" t="s">
        <v>2224</v>
      </c>
      <c r="C4038" s="76">
        <v>44659</v>
      </c>
      <c r="D4038" s="264"/>
      <c r="E4038" s="250" t="s">
        <v>245</v>
      </c>
      <c r="F4038" s="77">
        <v>140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4</v>
      </c>
      <c r="L4038" s="78"/>
      <c r="M4038" s="80"/>
      <c r="N4038" s="282"/>
      <c r="O4038" s="81"/>
    </row>
    <row r="4039" spans="1:15" hidden="1" x14ac:dyDescent="0.35">
      <c r="A4039" s="249" t="s">
        <v>2434</v>
      </c>
      <c r="B4039" s="151" t="s">
        <v>2224</v>
      </c>
      <c r="C4039" s="76">
        <v>44659</v>
      </c>
      <c r="D4039" s="264"/>
      <c r="E4039" s="250" t="s">
        <v>79</v>
      </c>
      <c r="F4039" s="77">
        <v>50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2</v>
      </c>
      <c r="L4039" s="78"/>
      <c r="M4039" s="80"/>
      <c r="N4039" s="282"/>
      <c r="O4039" s="81"/>
    </row>
    <row r="4040" spans="1:15" hidden="1" x14ac:dyDescent="0.35">
      <c r="A4040" s="249" t="s">
        <v>2223</v>
      </c>
      <c r="B4040" s="9" t="s">
        <v>2224</v>
      </c>
      <c r="C4040" s="76">
        <v>44604</v>
      </c>
      <c r="D4040" s="264"/>
      <c r="E4040" s="250" t="s">
        <v>39</v>
      </c>
      <c r="F4040" s="77">
        <v>50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65"/>
      <c r="O4040" s="25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2729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2729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2729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2729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2758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2758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2758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2758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hidden="1" x14ac:dyDescent="0.35">
      <c r="A4061" s="249" t="s">
        <v>2223</v>
      </c>
      <c r="B4061" s="151" t="s">
        <v>1129</v>
      </c>
      <c r="C4061" s="76">
        <v>44604</v>
      </c>
      <c r="D4061" s="264"/>
      <c r="E4061" s="250" t="s">
        <v>39</v>
      </c>
      <c r="F4061" s="77">
        <v>50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65"/>
      <c r="O4061" s="251"/>
    </row>
    <row r="4062" spans="1:15" hidden="1" x14ac:dyDescent="0.35">
      <c r="A4062" s="249" t="s">
        <v>2793</v>
      </c>
      <c r="B4062" s="151" t="s">
        <v>791</v>
      </c>
      <c r="C4062" s="76">
        <v>44758</v>
      </c>
      <c r="D4062" s="264"/>
      <c r="E4062" s="250" t="s">
        <v>28</v>
      </c>
      <c r="F4062" s="77">
        <v>500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324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x14ac:dyDescent="0.35">
      <c r="A4084" s="249" t="s">
        <v>2793</v>
      </c>
      <c r="B4084" s="151" t="s">
        <v>196</v>
      </c>
      <c r="C4084" s="76">
        <v>44758</v>
      </c>
      <c r="D4084" s="264"/>
      <c r="E4084" s="250" t="s">
        <v>18</v>
      </c>
      <c r="F4084" s="77">
        <v>500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324"/>
      <c r="O4084" s="81"/>
    </row>
    <row r="4085" spans="1:15" hidden="1" x14ac:dyDescent="0.35">
      <c r="A4085" s="249" t="s">
        <v>2793</v>
      </c>
      <c r="B4085" s="151" t="s">
        <v>196</v>
      </c>
      <c r="C4085" s="76">
        <v>44758</v>
      </c>
      <c r="D4085" s="264"/>
      <c r="E4085" s="250" t="s">
        <v>28</v>
      </c>
      <c r="F4085" s="77">
        <v>500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4"/>
      <c r="O4085" s="81"/>
    </row>
    <row r="4086" spans="1:15" hidden="1" x14ac:dyDescent="0.35">
      <c r="A4086" s="249" t="s">
        <v>2793</v>
      </c>
      <c r="B4086" s="151" t="s">
        <v>196</v>
      </c>
      <c r="C4086" s="76">
        <v>44758</v>
      </c>
      <c r="D4086" s="264"/>
      <c r="E4086" s="250" t="s">
        <v>79</v>
      </c>
      <c r="F4086" s="77">
        <v>500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hidden="1" x14ac:dyDescent="0.35">
      <c r="A4087" s="249" t="s">
        <v>2807</v>
      </c>
      <c r="B4087" s="313" t="s">
        <v>196</v>
      </c>
      <c r="C4087" s="76">
        <v>44762</v>
      </c>
      <c r="D4087" s="264"/>
      <c r="E4087" s="250" t="s">
        <v>39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2807</v>
      </c>
      <c r="B4088" s="313" t="s">
        <v>424</v>
      </c>
      <c r="C4088" s="76">
        <v>44762</v>
      </c>
      <c r="D4088" s="264"/>
      <c r="E4088" s="250" t="s">
        <v>131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hidden="1" x14ac:dyDescent="0.35">
      <c r="A4089" s="249" t="s">
        <v>2513</v>
      </c>
      <c r="B4089" s="322" t="s">
        <v>247</v>
      </c>
      <c r="C4089" s="76">
        <v>44674</v>
      </c>
      <c r="D4089" s="264"/>
      <c r="E4089" s="250" t="s">
        <v>202</v>
      </c>
      <c r="F4089" s="77">
        <v>140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282"/>
      <c r="O4089" s="81"/>
    </row>
    <row r="4090" spans="1:15" hidden="1" x14ac:dyDescent="0.35">
      <c r="A4090" s="249" t="s">
        <v>2513</v>
      </c>
      <c r="B4090" s="322" t="s">
        <v>247</v>
      </c>
      <c r="C4090" s="76">
        <v>44674</v>
      </c>
      <c r="D4090" s="264"/>
      <c r="E4090" s="250" t="s">
        <v>245</v>
      </c>
      <c r="F4090" s="77">
        <v>110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282"/>
      <c r="O4090" s="81"/>
    </row>
    <row r="4091" spans="1:15" hidden="1" x14ac:dyDescent="0.35">
      <c r="A4091" s="249" t="s">
        <v>2513</v>
      </c>
      <c r="B4091" s="151" t="s">
        <v>247</v>
      </c>
      <c r="C4091" s="76">
        <v>44674</v>
      </c>
      <c r="D4091" s="264"/>
      <c r="E4091" s="250" t="s">
        <v>79</v>
      </c>
      <c r="F4091" s="77">
        <v>80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282"/>
      <c r="O4091" s="81"/>
    </row>
    <row r="4092" spans="1:15" hidden="1" x14ac:dyDescent="0.35">
      <c r="A4092" s="249" t="s">
        <v>2717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2717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2717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2717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2730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2730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2730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2730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2735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2735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2735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2735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hidden="1" x14ac:dyDescent="0.35">
      <c r="A4105" s="249" t="s">
        <v>2223</v>
      </c>
      <c r="B4105" s="322" t="s">
        <v>247</v>
      </c>
      <c r="C4105" s="76">
        <v>44604</v>
      </c>
      <c r="D4105" s="264"/>
      <c r="E4105" s="250" t="s">
        <v>39</v>
      </c>
      <c r="F4105" s="77">
        <v>50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265"/>
      <c r="O4105" s="81"/>
    </row>
    <row r="4106" spans="1:15" hidden="1" x14ac:dyDescent="0.35">
      <c r="A4106" s="249" t="s">
        <v>2778</v>
      </c>
      <c r="B4106" s="150" t="s">
        <v>2297</v>
      </c>
      <c r="C4106" s="76">
        <v>44755</v>
      </c>
      <c r="D4106" s="264"/>
      <c r="E4106" s="250" t="s">
        <v>79</v>
      </c>
      <c r="F4106" s="77">
        <v>360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4"/>
      <c r="O4106" s="81"/>
    </row>
    <row r="4107" spans="1:15" hidden="1" x14ac:dyDescent="0.35">
      <c r="A4107" s="249" t="s">
        <v>2778</v>
      </c>
      <c r="B4107" s="150" t="s">
        <v>2297</v>
      </c>
      <c r="C4107" s="76">
        <v>44755</v>
      </c>
      <c r="D4107" s="264"/>
      <c r="E4107" s="250" t="s">
        <v>135</v>
      </c>
      <c r="F4107" s="77">
        <v>360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hidden="1" x14ac:dyDescent="0.35">
      <c r="A4108" s="249" t="s">
        <v>2759</v>
      </c>
      <c r="B4108" s="9" t="s">
        <v>2764</v>
      </c>
      <c r="C4108" s="76">
        <v>44736</v>
      </c>
      <c r="D4108" s="264"/>
      <c r="E4108" s="250" t="s">
        <v>930</v>
      </c>
      <c r="F4108" s="77">
        <v>300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hidden="1" x14ac:dyDescent="0.35">
      <c r="A4109" s="249" t="s">
        <v>2759</v>
      </c>
      <c r="B4109" s="9" t="s">
        <v>2764</v>
      </c>
      <c r="C4109" s="76">
        <v>44736</v>
      </c>
      <c r="D4109" s="264"/>
      <c r="E4109" s="250" t="s">
        <v>18</v>
      </c>
      <c r="F4109" s="77">
        <v>300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324"/>
      <c r="O4109" s="81"/>
    </row>
    <row r="4110" spans="1:15" hidden="1" x14ac:dyDescent="0.35">
      <c r="A4110" s="249" t="s">
        <v>2759</v>
      </c>
      <c r="B4110" s="9" t="s">
        <v>2764</v>
      </c>
      <c r="C4110" s="76">
        <v>44736</v>
      </c>
      <c r="D4110" s="264"/>
      <c r="E4110" s="250" t="s">
        <v>135</v>
      </c>
      <c r="F4110" s="77">
        <v>300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324"/>
      <c r="O4110" s="81"/>
    </row>
    <row r="4111" spans="1:15" hidden="1" x14ac:dyDescent="0.35">
      <c r="A4111" s="249" t="s">
        <v>2790</v>
      </c>
      <c r="B4111" s="9" t="s">
        <v>1127</v>
      </c>
      <c r="C4111" s="76">
        <v>44754</v>
      </c>
      <c r="D4111" s="264"/>
      <c r="E4111" s="250" t="s">
        <v>18</v>
      </c>
      <c r="F4111" s="77">
        <v>60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324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hidden="1" x14ac:dyDescent="0.35">
      <c r="A4116" s="249" t="s">
        <v>2790</v>
      </c>
      <c r="B4116" s="9" t="s">
        <v>1127</v>
      </c>
      <c r="C4116" s="76">
        <v>44754</v>
      </c>
      <c r="D4116" s="264"/>
      <c r="E4116" s="250" t="s">
        <v>28</v>
      </c>
      <c r="F4116" s="77">
        <v>120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4"/>
      <c r="O4116" s="81"/>
    </row>
    <row r="4117" spans="1:15" hidden="1" x14ac:dyDescent="0.35">
      <c r="A4117" s="249" t="s">
        <v>2790</v>
      </c>
      <c r="B4117" s="9" t="s">
        <v>1127</v>
      </c>
      <c r="C4117" s="76">
        <v>44754</v>
      </c>
      <c r="D4117" s="264"/>
      <c r="E4117" s="250" t="s">
        <v>135</v>
      </c>
      <c r="F4117" s="184">
        <v>120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324"/>
      <c r="O4117" s="81"/>
    </row>
    <row r="4118" spans="1:15" hidden="1" x14ac:dyDescent="0.35">
      <c r="A4118" s="249" t="s">
        <v>2706</v>
      </c>
      <c r="B4118" s="9" t="s">
        <v>1127</v>
      </c>
      <c r="C4118" s="76">
        <v>44729</v>
      </c>
      <c r="D4118" s="264"/>
      <c r="E4118" s="250" t="s">
        <v>18</v>
      </c>
      <c r="F4118" s="77">
        <v>50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hidden="1" x14ac:dyDescent="0.35">
      <c r="A4119" s="249" t="s">
        <v>2706</v>
      </c>
      <c r="B4119" s="9" t="s">
        <v>1127</v>
      </c>
      <c r="C4119" s="76">
        <v>44729</v>
      </c>
      <c r="D4119" s="264"/>
      <c r="E4119" s="250" t="s">
        <v>28</v>
      </c>
      <c r="F4119" s="77">
        <v>50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hidden="1" x14ac:dyDescent="0.35">
      <c r="A4121" s="249" t="s">
        <v>2706</v>
      </c>
      <c r="B4121" s="9" t="s">
        <v>1127</v>
      </c>
      <c r="C4121" s="76">
        <v>44729</v>
      </c>
      <c r="D4121" s="264"/>
      <c r="E4121" s="250" t="s">
        <v>135</v>
      </c>
      <c r="F4121" s="77">
        <v>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hidden="1" x14ac:dyDescent="0.35">
      <c r="A4122" s="249" t="s">
        <v>2673</v>
      </c>
      <c r="B4122" s="9" t="s">
        <v>1127</v>
      </c>
      <c r="C4122" s="76">
        <v>44715</v>
      </c>
      <c r="D4122" s="264"/>
      <c r="E4122" s="250" t="s">
        <v>1629</v>
      </c>
      <c r="F4122" s="77">
        <v>120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35">
      <c r="A4124" s="249" t="s">
        <v>2552</v>
      </c>
      <c r="B4124" s="9" t="s">
        <v>1127</v>
      </c>
      <c r="C4124" s="76">
        <v>44685</v>
      </c>
      <c r="D4124" s="264"/>
      <c r="E4124" s="250" t="s">
        <v>28</v>
      </c>
      <c r="F4124" s="77">
        <v>120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/>
    </row>
    <row r="4125" spans="1:15" hidden="1" x14ac:dyDescent="0.35">
      <c r="A4125" s="249" t="s">
        <v>2740</v>
      </c>
      <c r="B4125" s="151" t="s">
        <v>1166</v>
      </c>
      <c r="C4125" s="76">
        <v>44741</v>
      </c>
      <c r="D4125" s="264"/>
      <c r="E4125" s="161" t="s">
        <v>18</v>
      </c>
      <c r="F4125" s="88">
        <v>360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324"/>
      <c r="O4125" s="81"/>
    </row>
    <row r="4126" spans="1:15" hidden="1" x14ac:dyDescent="0.35">
      <c r="A4126" s="249" t="s">
        <v>2640</v>
      </c>
      <c r="B4126" s="151" t="s">
        <v>1070</v>
      </c>
      <c r="C4126" s="76">
        <v>44704</v>
      </c>
      <c r="D4126" s="235"/>
      <c r="E4126" s="157" t="s">
        <v>28</v>
      </c>
      <c r="F4126" s="77">
        <v>600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251" t="s">
        <v>1074</v>
      </c>
    </row>
    <row r="4127" spans="1:15" hidden="1" x14ac:dyDescent="0.35">
      <c r="A4127" s="249" t="s">
        <v>2740</v>
      </c>
      <c r="B4127" s="151" t="s">
        <v>1166</v>
      </c>
      <c r="C4127" s="76">
        <v>44741</v>
      </c>
      <c r="D4127" s="264"/>
      <c r="E4127" s="161" t="s">
        <v>25</v>
      </c>
      <c r="F4127" s="88">
        <v>360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324"/>
      <c r="O4127" s="81"/>
    </row>
    <row r="4128" spans="1:15" hidden="1" x14ac:dyDescent="0.35">
      <c r="A4128" s="249" t="s">
        <v>2696</v>
      </c>
      <c r="B4128" s="151" t="s">
        <v>1166</v>
      </c>
      <c r="C4128" s="76">
        <v>44717</v>
      </c>
      <c r="D4128" s="264"/>
      <c r="E4128" s="161" t="s">
        <v>18</v>
      </c>
      <c r="F4128" s="88">
        <v>360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324"/>
      <c r="O4128" s="251" t="s">
        <v>1074</v>
      </c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261" t="s">
        <v>28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2740</v>
      </c>
      <c r="B4130" s="151" t="s">
        <v>1166</v>
      </c>
      <c r="C4130" s="76">
        <v>44741</v>
      </c>
      <c r="D4130" s="264"/>
      <c r="E4130" s="86" t="s">
        <v>39</v>
      </c>
      <c r="F4130" s="88">
        <v>240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81"/>
    </row>
    <row r="4131" spans="1:15" hidden="1" x14ac:dyDescent="0.35">
      <c r="A4131" s="249" t="s">
        <v>2699</v>
      </c>
      <c r="B4131" s="151" t="s">
        <v>1421</v>
      </c>
      <c r="C4131" s="76">
        <v>44722</v>
      </c>
      <c r="D4131" s="180"/>
      <c r="E4131" s="86" t="s">
        <v>39</v>
      </c>
      <c r="F4131" s="88">
        <v>240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4"/>
      <c r="O4131" s="251" t="s">
        <v>1074</v>
      </c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28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161" t="s">
        <v>25</v>
      </c>
      <c r="F4133" s="88">
        <v>360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86" t="s">
        <v>18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2740</v>
      </c>
      <c r="B4135" s="151" t="s">
        <v>1166</v>
      </c>
      <c r="C4135" s="76">
        <v>44741</v>
      </c>
      <c r="D4135" s="264"/>
      <c r="E4135" s="86" t="s">
        <v>28</v>
      </c>
      <c r="F4135" s="88">
        <v>240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81"/>
    </row>
    <row r="4136" spans="1:15" hidden="1" x14ac:dyDescent="0.35">
      <c r="A4136" s="249" t="s">
        <v>2761</v>
      </c>
      <c r="B4136" s="9" t="s">
        <v>1146</v>
      </c>
      <c r="C4136" s="76">
        <v>44750</v>
      </c>
      <c r="D4136" s="264"/>
      <c r="E4136" s="250" t="s">
        <v>28</v>
      </c>
      <c r="F4136" s="77">
        <v>600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2761</v>
      </c>
      <c r="B4137" s="9" t="s">
        <v>1146</v>
      </c>
      <c r="C4137" s="76">
        <v>44750</v>
      </c>
      <c r="D4137" s="264"/>
      <c r="E4137" s="250" t="s">
        <v>18</v>
      </c>
      <c r="F4137" s="77">
        <v>600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hidden="1" x14ac:dyDescent="0.35">
      <c r="A4138" s="249" t="s">
        <v>2622</v>
      </c>
      <c r="B4138" s="9" t="s">
        <v>1240</v>
      </c>
      <c r="C4138" s="76">
        <v>44698</v>
      </c>
      <c r="D4138" s="264"/>
      <c r="E4138" s="250" t="s">
        <v>99</v>
      </c>
      <c r="F4138" s="77">
        <v>600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282"/>
      <c r="O4138" s="81"/>
    </row>
    <row r="4139" spans="1:15" hidden="1" x14ac:dyDescent="0.35">
      <c r="A4139" s="249" t="s">
        <v>2715</v>
      </c>
      <c r="B4139" s="151" t="s">
        <v>2222</v>
      </c>
      <c r="C4139" s="76">
        <v>44732</v>
      </c>
      <c r="D4139" s="180"/>
      <c r="E4139" s="86" t="s">
        <v>39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4"/>
      <c r="O4139" s="251" t="s">
        <v>1074</v>
      </c>
    </row>
    <row r="4140" spans="1:15" hidden="1" x14ac:dyDescent="0.35">
      <c r="A4140" s="249" t="s">
        <v>2715</v>
      </c>
      <c r="B4140" s="151" t="s">
        <v>2222</v>
      </c>
      <c r="C4140" s="76">
        <v>44732</v>
      </c>
      <c r="D4140" s="180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2715</v>
      </c>
      <c r="B4141" s="151" t="s">
        <v>2222</v>
      </c>
      <c r="C4141" s="76">
        <v>44732</v>
      </c>
      <c r="D4141" s="180"/>
      <c r="E4141" s="161" t="s">
        <v>25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2715</v>
      </c>
      <c r="B4142" s="151" t="s">
        <v>2222</v>
      </c>
      <c r="C4142" s="76">
        <v>44732</v>
      </c>
      <c r="D4142" s="180"/>
      <c r="E4142" s="86" t="s">
        <v>28</v>
      </c>
      <c r="F4142" s="88">
        <v>240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2622</v>
      </c>
      <c r="B4143" s="9" t="s">
        <v>1240</v>
      </c>
      <c r="C4143" s="76">
        <v>44698</v>
      </c>
      <c r="D4143" s="264"/>
      <c r="E4143" s="250" t="s">
        <v>28</v>
      </c>
      <c r="F4143" s="77">
        <v>600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282"/>
      <c r="O4143" s="81"/>
    </row>
    <row r="4144" spans="1:15" hidden="1" x14ac:dyDescent="0.35">
      <c r="A4144" s="249" t="s">
        <v>2622</v>
      </c>
      <c r="B4144" s="9" t="s">
        <v>1240</v>
      </c>
      <c r="C4144" s="76">
        <v>44698</v>
      </c>
      <c r="D4144" s="264"/>
      <c r="E4144" s="250" t="s">
        <v>25</v>
      </c>
      <c r="F4144" s="77">
        <v>600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282"/>
      <c r="O4144" s="81"/>
    </row>
    <row r="4145" spans="1:15" x14ac:dyDescent="0.35">
      <c r="A4145" s="249" t="s">
        <v>2768</v>
      </c>
      <c r="B4145" s="151" t="s">
        <v>582</v>
      </c>
      <c r="C4145" s="76">
        <v>44753</v>
      </c>
      <c r="D4145" s="235"/>
      <c r="E4145" s="250" t="s">
        <v>28</v>
      </c>
      <c r="F4145" s="77">
        <v>600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324"/>
      <c r="O4145" s="81"/>
    </row>
    <row r="4146" spans="1:15" hidden="1" x14ac:dyDescent="0.35">
      <c r="A4146" s="249" t="s">
        <v>2456</v>
      </c>
      <c r="B4146" s="151" t="s">
        <v>1476</v>
      </c>
      <c r="C4146" s="76">
        <v>44665</v>
      </c>
      <c r="D4146" s="264"/>
      <c r="E4146" s="250" t="s">
        <v>28</v>
      </c>
      <c r="F4146" s="77">
        <v>600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8</v>
      </c>
      <c r="L4146" s="78"/>
      <c r="M4146" s="80"/>
      <c r="N4146" s="282"/>
      <c r="O4146" s="251" t="s">
        <v>1074</v>
      </c>
    </row>
    <row r="4147" spans="1:15" hidden="1" x14ac:dyDescent="0.35">
      <c r="A4147" s="249" t="s">
        <v>2456</v>
      </c>
      <c r="B4147" s="9" t="s">
        <v>1476</v>
      </c>
      <c r="C4147" s="76">
        <v>44665</v>
      </c>
      <c r="D4147" s="264"/>
      <c r="E4147" s="86" t="s">
        <v>18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2461</v>
      </c>
      <c r="B4148" s="9" t="s">
        <v>2460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x14ac:dyDescent="0.35">
      <c r="A4149" s="249" t="s">
        <v>2768</v>
      </c>
      <c r="B4149" s="322" t="s">
        <v>772</v>
      </c>
      <c r="C4149" s="76">
        <v>44753</v>
      </c>
      <c r="D4149" s="235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324"/>
      <c r="O4149" s="81"/>
    </row>
    <row r="4150" spans="1:15" hidden="1" x14ac:dyDescent="0.35">
      <c r="A4150" s="249" t="s">
        <v>2779</v>
      </c>
      <c r="B4150" s="151" t="s">
        <v>2080</v>
      </c>
      <c r="C4150" s="76">
        <v>44755</v>
      </c>
      <c r="D4150" s="235"/>
      <c r="E4150" s="250" t="s">
        <v>39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251" t="s">
        <v>1074</v>
      </c>
    </row>
    <row r="4151" spans="1:15" hidden="1" x14ac:dyDescent="0.35">
      <c r="A4151" s="249" t="s">
        <v>2648</v>
      </c>
      <c r="B4151" s="250" t="s">
        <v>2656</v>
      </c>
      <c r="C4151" s="270">
        <v>44705</v>
      </c>
      <c r="D4151" s="264"/>
      <c r="E4151" s="250" t="s">
        <v>18</v>
      </c>
      <c r="F4151" s="77">
        <v>800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hidden="1" x14ac:dyDescent="0.35">
      <c r="A4152" s="249" t="s">
        <v>2648</v>
      </c>
      <c r="B4152" s="250" t="s">
        <v>2656</v>
      </c>
      <c r="C4152" s="270">
        <v>44705</v>
      </c>
      <c r="D4152" s="264"/>
      <c r="E4152" s="250" t="s">
        <v>39</v>
      </c>
      <c r="F4152" s="77">
        <v>1000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282"/>
      <c r="O4152" s="81"/>
    </row>
    <row r="4153" spans="1:15" hidden="1" x14ac:dyDescent="0.35">
      <c r="A4153" s="249" t="s">
        <v>2648</v>
      </c>
      <c r="B4153" s="313" t="s">
        <v>2656</v>
      </c>
      <c r="C4153" s="270">
        <v>44705</v>
      </c>
      <c r="D4153" s="264"/>
      <c r="E4153" s="250" t="s">
        <v>28</v>
      </c>
      <c r="F4153" s="77">
        <v>1200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1</v>
      </c>
      <c r="L4153" s="78"/>
      <c r="M4153" s="80"/>
      <c r="N4153" s="282"/>
      <c r="O4153" s="81"/>
    </row>
    <row r="4154" spans="1:15" hidden="1" x14ac:dyDescent="0.35">
      <c r="A4154" s="249" t="s">
        <v>2757</v>
      </c>
      <c r="B4154" s="322" t="s">
        <v>30</v>
      </c>
      <c r="C4154" s="76">
        <v>44749</v>
      </c>
      <c r="D4154" s="180"/>
      <c r="E4154" s="86" t="s">
        <v>39</v>
      </c>
      <c r="F4154" s="88">
        <v>240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251" t="s">
        <v>1074</v>
      </c>
    </row>
    <row r="4155" spans="1:15" hidden="1" x14ac:dyDescent="0.35">
      <c r="A4155" s="249" t="s">
        <v>2757</v>
      </c>
      <c r="B4155" s="322" t="s">
        <v>30</v>
      </c>
      <c r="C4155" s="76">
        <v>44749</v>
      </c>
      <c r="D4155" s="180"/>
      <c r="E4155" s="86" t="s">
        <v>28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hidden="1" x14ac:dyDescent="0.35">
      <c r="A4156" s="249" t="s">
        <v>2757</v>
      </c>
      <c r="B4156" s="322" t="s">
        <v>30</v>
      </c>
      <c r="C4156" s="76">
        <v>44749</v>
      </c>
      <c r="D4156" s="180"/>
      <c r="E4156" s="86" t="s">
        <v>18</v>
      </c>
      <c r="F4156" s="88">
        <v>360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hidden="1" x14ac:dyDescent="0.35">
      <c r="A4157" s="249" t="s">
        <v>2709</v>
      </c>
      <c r="B4157" s="151" t="s">
        <v>1438</v>
      </c>
      <c r="C4157" s="76">
        <v>44715</v>
      </c>
      <c r="D4157" s="180"/>
      <c r="E4157" s="86" t="s">
        <v>18</v>
      </c>
      <c r="F4157" s="88">
        <v>240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34</v>
      </c>
      <c r="L4157" s="78"/>
      <c r="M4157" s="80"/>
      <c r="N4157" s="324"/>
      <c r="O4157" s="251" t="s">
        <v>1074</v>
      </c>
    </row>
    <row r="4158" spans="1:15" hidden="1" x14ac:dyDescent="0.35">
      <c r="A4158" s="249" t="s">
        <v>2709</v>
      </c>
      <c r="B4158" s="151" t="s">
        <v>1438</v>
      </c>
      <c r="C4158" s="76">
        <v>44715</v>
      </c>
      <c r="D4158" s="180"/>
      <c r="E4158" s="86" t="s">
        <v>28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2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2757</v>
      </c>
      <c r="B4159" s="151" t="s">
        <v>30</v>
      </c>
      <c r="C4159" s="76">
        <v>44749</v>
      </c>
      <c r="D4159" s="180"/>
      <c r="E4159" s="261" t="s">
        <v>25</v>
      </c>
      <c r="F4159" s="88">
        <v>360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0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2648</v>
      </c>
      <c r="B4160" s="250" t="s">
        <v>2655</v>
      </c>
      <c r="C4160" s="270">
        <v>44705</v>
      </c>
      <c r="D4160" s="264"/>
      <c r="E4160" s="250" t="s">
        <v>18</v>
      </c>
      <c r="F4160" s="77">
        <v>1200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5</v>
      </c>
      <c r="L4160" s="78"/>
      <c r="M4160" s="80"/>
      <c r="N4160" s="282"/>
      <c r="O4160" s="81"/>
    </row>
    <row r="4161" spans="1:15" hidden="1" x14ac:dyDescent="0.35">
      <c r="A4161" s="249" t="s">
        <v>2648</v>
      </c>
      <c r="B4161" s="250" t="s">
        <v>2655</v>
      </c>
      <c r="C4161" s="270">
        <v>44705</v>
      </c>
      <c r="D4161" s="264"/>
      <c r="E4161" s="250" t="s">
        <v>39</v>
      </c>
      <c r="F4161" s="77">
        <v>1800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hidden="1" x14ac:dyDescent="0.35">
      <c r="A4162" s="249" t="s">
        <v>2648</v>
      </c>
      <c r="B4162" s="250" t="s">
        <v>2655</v>
      </c>
      <c r="C4162" s="270">
        <v>44705</v>
      </c>
      <c r="D4162" s="264"/>
      <c r="E4162" s="250" t="s">
        <v>28</v>
      </c>
      <c r="F4162" s="77">
        <f>5000-F4154-F4155</f>
        <v>4520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11</v>
      </c>
      <c r="L4162" s="78"/>
      <c r="M4162" s="80"/>
      <c r="N4162" s="282"/>
      <c r="O4162" s="81"/>
    </row>
    <row r="4163" spans="1:15" hidden="1" x14ac:dyDescent="0.35">
      <c r="A4163" s="249" t="s">
        <v>2293</v>
      </c>
      <c r="B4163" s="151" t="s">
        <v>461</v>
      </c>
      <c r="C4163" s="76">
        <v>44626</v>
      </c>
      <c r="D4163" s="235"/>
      <c r="E4163" s="250" t="s">
        <v>28</v>
      </c>
      <c r="F4163" s="77">
        <v>1200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x14ac:dyDescent="0.35">
      <c r="A4164" s="249" t="s">
        <v>2797</v>
      </c>
      <c r="B4164" s="151" t="s">
        <v>2080</v>
      </c>
      <c r="C4164" s="89">
        <v>44760</v>
      </c>
      <c r="D4164" s="235"/>
      <c r="E4164" s="250" t="s">
        <v>39</v>
      </c>
      <c r="F4164" s="77">
        <v>600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416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x14ac:dyDescent="0.35">
      <c r="A4165" s="249" t="s">
        <v>2779</v>
      </c>
      <c r="B4165" s="151" t="s">
        <v>2080</v>
      </c>
      <c r="C4165" s="76">
        <v>44755</v>
      </c>
      <c r="D4165" s="235"/>
      <c r="E4165" s="250" t="s">
        <v>28</v>
      </c>
      <c r="F4165" s="77">
        <v>1200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1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hidden="1" x14ac:dyDescent="0.35">
      <c r="A4166" s="249" t="s">
        <v>2659</v>
      </c>
      <c r="B4166" s="9" t="s">
        <v>2658</v>
      </c>
      <c r="C4166" s="76">
        <v>44707</v>
      </c>
      <c r="D4166" s="264"/>
      <c r="E4166" s="250" t="s">
        <v>18</v>
      </c>
      <c r="F4166" s="77">
        <v>500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35">
      <c r="A4167" s="249" t="s">
        <v>2653</v>
      </c>
      <c r="B4167" s="250" t="s">
        <v>141</v>
      </c>
      <c r="C4167" s="76">
        <v>44706</v>
      </c>
      <c r="D4167" s="264"/>
      <c r="E4167" s="250" t="s">
        <v>2047</v>
      </c>
      <c r="F4167" s="77">
        <v>200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hidden="1" x14ac:dyDescent="0.35">
      <c r="A4168" s="249" t="s">
        <v>2766</v>
      </c>
      <c r="B4168" s="9" t="s">
        <v>234</v>
      </c>
      <c r="C4168" s="76">
        <v>44734</v>
      </c>
      <c r="D4168" s="264"/>
      <c r="E4168" s="261" t="s">
        <v>28</v>
      </c>
      <c r="F4168" s="77">
        <v>600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251" t="s">
        <v>1074</v>
      </c>
    </row>
    <row r="4169" spans="1:15" hidden="1" x14ac:dyDescent="0.35">
      <c r="A4169" s="249" t="s">
        <v>2766</v>
      </c>
      <c r="B4169" s="9" t="s">
        <v>234</v>
      </c>
      <c r="C4169" s="76">
        <v>44734</v>
      </c>
      <c r="D4169" s="264"/>
      <c r="E4169" s="261" t="s">
        <v>39</v>
      </c>
      <c r="F4169" s="77">
        <v>360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4"/>
      <c r="O4169" s="251" t="s">
        <v>1074</v>
      </c>
    </row>
    <row r="4170" spans="1:15" hidden="1" x14ac:dyDescent="0.35">
      <c r="A4170" s="249" t="s">
        <v>2653</v>
      </c>
      <c r="B4170" s="250" t="s">
        <v>141</v>
      </c>
      <c r="C4170" s="76">
        <v>44706</v>
      </c>
      <c r="D4170" s="264"/>
      <c r="E4170" s="250" t="s">
        <v>2651</v>
      </c>
      <c r="F4170" s="77">
        <v>200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282"/>
      <c r="O4170" s="81"/>
    </row>
    <row r="4171" spans="1:15" hidden="1" x14ac:dyDescent="0.35">
      <c r="A4171" s="249" t="s">
        <v>2663</v>
      </c>
      <c r="B4171" s="151" t="s">
        <v>1071</v>
      </c>
      <c r="C4171" s="76">
        <v>44710</v>
      </c>
      <c r="D4171" s="180"/>
      <c r="E4171" s="241" t="s">
        <v>18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282"/>
      <c r="O4171" s="251" t="s">
        <v>1074</v>
      </c>
    </row>
    <row r="4172" spans="1:15" hidden="1" x14ac:dyDescent="0.35">
      <c r="A4172" s="249" t="s">
        <v>2606</v>
      </c>
      <c r="B4172" s="9" t="s">
        <v>2605</v>
      </c>
      <c r="C4172" s="76">
        <v>44694</v>
      </c>
      <c r="D4172" s="264"/>
      <c r="E4172" s="250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81"/>
    </row>
    <row r="4173" spans="1:15" hidden="1" x14ac:dyDescent="0.35">
      <c r="A4173" s="249" t="s">
        <v>2619</v>
      </c>
      <c r="B4173" s="9" t="s">
        <v>2519</v>
      </c>
      <c r="C4173" s="76">
        <v>44697</v>
      </c>
      <c r="D4173" s="264"/>
      <c r="E4173" s="250" t="s">
        <v>28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251"/>
    </row>
    <row r="4174" spans="1:15" hidden="1" x14ac:dyDescent="0.35">
      <c r="A4174" s="249" t="s">
        <v>2347</v>
      </c>
      <c r="B4174" s="9" t="s">
        <v>2348</v>
      </c>
      <c r="C4174" s="76">
        <v>44636</v>
      </c>
      <c r="D4174" s="264"/>
      <c r="E4174" s="250" t="s">
        <v>18</v>
      </c>
      <c r="F4174" s="77">
        <f>1200/4</f>
        <v>300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23</v>
      </c>
      <c r="L4174" s="78"/>
      <c r="M4174" s="80"/>
      <c r="N4174" s="282"/>
      <c r="O4174" s="251" t="s">
        <v>1074</v>
      </c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39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6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25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24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28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26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150" t="s">
        <v>2348</v>
      </c>
      <c r="C4178" s="76">
        <v>44636</v>
      </c>
      <c r="D4178" s="264"/>
      <c r="E4178" s="250" t="s">
        <v>79</v>
      </c>
      <c r="F4178" s="77">
        <v>240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2355</v>
      </c>
      <c r="C4179" s="76">
        <v>44636</v>
      </c>
      <c r="D4179" s="264"/>
      <c r="E4179" s="250" t="s">
        <v>18</v>
      </c>
      <c r="F4179" s="77">
        <f>1200/5</f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0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39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1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28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9" t="s">
        <v>2355</v>
      </c>
      <c r="C4182" s="76">
        <v>44636</v>
      </c>
      <c r="D4182" s="264"/>
      <c r="E4182" s="250" t="s">
        <v>79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3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25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2670</v>
      </c>
      <c r="B4184" s="9" t="s">
        <v>2536</v>
      </c>
      <c r="C4184" s="76">
        <v>44714</v>
      </c>
      <c r="D4184" s="264"/>
      <c r="E4184" s="250" t="s">
        <v>28</v>
      </c>
      <c r="F4184" s="77">
        <v>600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324"/>
      <c r="O4184" s="81"/>
    </row>
    <row r="4185" spans="1:15" hidden="1" x14ac:dyDescent="0.35">
      <c r="A4185" s="249" t="s">
        <v>2664</v>
      </c>
      <c r="B4185" s="151" t="s">
        <v>1070</v>
      </c>
      <c r="C4185" s="76">
        <v>44710</v>
      </c>
      <c r="D4185" s="180"/>
      <c r="E4185" s="261" t="s">
        <v>18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hidden="1" x14ac:dyDescent="0.35">
      <c r="A4186" s="249" t="s">
        <v>2549</v>
      </c>
      <c r="B4186" s="150" t="s">
        <v>2548</v>
      </c>
      <c r="C4186" s="76">
        <v>44684</v>
      </c>
      <c r="D4186" s="264"/>
      <c r="E4186" s="161" t="s">
        <v>28</v>
      </c>
      <c r="F4186" s="88">
        <v>240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81"/>
    </row>
    <row r="4187" spans="1:15" hidden="1" x14ac:dyDescent="0.35">
      <c r="A4187" s="249" t="s">
        <v>2549</v>
      </c>
      <c r="B4187" s="150" t="s">
        <v>2548</v>
      </c>
      <c r="C4187" s="76">
        <v>44684</v>
      </c>
      <c r="D4187" s="264"/>
      <c r="E4187" s="161" t="s">
        <v>39</v>
      </c>
      <c r="F4187" s="88">
        <v>240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81"/>
    </row>
    <row r="4188" spans="1:15" hidden="1" x14ac:dyDescent="0.35">
      <c r="A4188" s="249" t="s">
        <v>2767</v>
      </c>
      <c r="B4188" s="321" t="s">
        <v>238</v>
      </c>
      <c r="C4188" s="76">
        <v>44739</v>
      </c>
      <c r="D4188" s="235"/>
      <c r="E4188" s="86" t="s">
        <v>28</v>
      </c>
      <c r="F4188" s="88">
        <v>1000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324"/>
      <c r="O4188" s="251" t="s">
        <v>1074</v>
      </c>
    </row>
    <row r="4189" spans="1:15" hidden="1" x14ac:dyDescent="0.35">
      <c r="A4189" s="249" t="s">
        <v>2767</v>
      </c>
      <c r="B4189" s="321" t="s">
        <v>238</v>
      </c>
      <c r="C4189" s="76">
        <v>44739</v>
      </c>
      <c r="D4189" s="235"/>
      <c r="E4189" s="261" t="s">
        <v>18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2719</v>
      </c>
      <c r="B4190" s="161" t="s">
        <v>1600</v>
      </c>
      <c r="C4190" s="76">
        <v>44721</v>
      </c>
      <c r="D4190" s="180"/>
      <c r="E4190" s="86" t="s">
        <v>28</v>
      </c>
      <c r="F4190" s="72">
        <v>240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2719</v>
      </c>
      <c r="B4191" s="161" t="s">
        <v>1600</v>
      </c>
      <c r="C4191" s="76">
        <v>44721</v>
      </c>
      <c r="D4191" s="180"/>
      <c r="E4191" s="86" t="s">
        <v>18</v>
      </c>
      <c r="F4191" s="88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2726</v>
      </c>
      <c r="B4192" s="151" t="s">
        <v>2222</v>
      </c>
      <c r="C4192" s="76">
        <v>44736</v>
      </c>
      <c r="D4192" s="180"/>
      <c r="E4192" s="86" t="s">
        <v>39</v>
      </c>
      <c r="F4192" s="88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2726</v>
      </c>
      <c r="B4193" s="151" t="s">
        <v>2222</v>
      </c>
      <c r="C4193" s="76">
        <v>44736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2726</v>
      </c>
      <c r="B4194" s="151" t="s">
        <v>2222</v>
      </c>
      <c r="C4194" s="76">
        <v>44736</v>
      </c>
      <c r="D4194" s="180"/>
      <c r="E4194" s="161" t="s">
        <v>25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2726</v>
      </c>
      <c r="B4195" s="151" t="s">
        <v>2222</v>
      </c>
      <c r="C4195" s="76">
        <v>44736</v>
      </c>
      <c r="D4195" s="180"/>
      <c r="E4195" s="86" t="s">
        <v>28</v>
      </c>
      <c r="F4195" s="88">
        <v>240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2549</v>
      </c>
      <c r="B4196" s="9" t="s">
        <v>2548</v>
      </c>
      <c r="C4196" s="76">
        <v>44684</v>
      </c>
      <c r="D4196" s="264"/>
      <c r="E4196" s="86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282"/>
      <c r="O4196" s="81"/>
    </row>
    <row r="4197" spans="1:15" hidden="1" x14ac:dyDescent="0.35">
      <c r="A4197" s="249" t="s">
        <v>2379</v>
      </c>
      <c r="B4197" s="9" t="s">
        <v>796</v>
      </c>
      <c r="C4197" s="76">
        <v>44647</v>
      </c>
      <c r="D4197" s="264"/>
      <c r="E4197" s="157" t="s">
        <v>18</v>
      </c>
      <c r="F4197" s="88">
        <v>360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13</v>
      </c>
      <c r="L4197" s="78"/>
      <c r="M4197" s="80"/>
      <c r="N4197" s="282"/>
      <c r="O4197" s="251" t="s">
        <v>1074</v>
      </c>
    </row>
    <row r="4198" spans="1:15" hidden="1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28</v>
      </c>
      <c r="F4198" s="88">
        <v>240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251" t="s">
        <v>1074</v>
      </c>
    </row>
    <row r="4199" spans="1:15" hidden="1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39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hidden="1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25</v>
      </c>
      <c r="F4200" s="88">
        <v>360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hidden="1" x14ac:dyDescent="0.35">
      <c r="A4201" s="249" t="s">
        <v>2549</v>
      </c>
      <c r="B4201" s="9" t="s">
        <v>2548</v>
      </c>
      <c r="C4201" s="76">
        <v>44684</v>
      </c>
      <c r="D4201" s="264"/>
      <c r="E4201" s="161" t="s">
        <v>18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hidden="1" x14ac:dyDescent="0.35">
      <c r="A4202" s="249" t="s">
        <v>2801</v>
      </c>
      <c r="B4202" s="9" t="s">
        <v>234</v>
      </c>
      <c r="C4202" s="76">
        <v>44754</v>
      </c>
      <c r="D4202" s="264"/>
      <c r="E4202" s="261" t="s">
        <v>28</v>
      </c>
      <c r="F4202" s="77">
        <v>600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324"/>
      <c r="O4202" s="251"/>
    </row>
    <row r="4203" spans="1:15" x14ac:dyDescent="0.35">
      <c r="A4203" s="249" t="s">
        <v>2801</v>
      </c>
      <c r="B4203" s="9" t="s">
        <v>234</v>
      </c>
      <c r="C4203" s="76">
        <v>44754</v>
      </c>
      <c r="D4203" s="264"/>
      <c r="E4203" s="261" t="s">
        <v>18</v>
      </c>
      <c r="F4203" s="77">
        <v>600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4"/>
      <c r="O4203" s="81"/>
    </row>
    <row r="4204" spans="1:15" hidden="1" x14ac:dyDescent="0.35">
      <c r="A4204" s="249" t="s">
        <v>2206</v>
      </c>
      <c r="B4204" s="9" t="s">
        <v>2137</v>
      </c>
      <c r="C4204" s="76">
        <v>44554</v>
      </c>
      <c r="D4204" s="264"/>
      <c r="E4204" s="250" t="s">
        <v>18</v>
      </c>
      <c r="F4204" s="77">
        <v>600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265"/>
      <c r="O4204" s="251"/>
    </row>
    <row r="4205" spans="1:15" hidden="1" x14ac:dyDescent="0.35">
      <c r="A4205" s="249" t="s">
        <v>2206</v>
      </c>
      <c r="B4205" s="9" t="s">
        <v>2137</v>
      </c>
      <c r="C4205" s="76">
        <v>44554</v>
      </c>
      <c r="D4205" s="264"/>
      <c r="E4205" s="250" t="s">
        <v>79</v>
      </c>
      <c r="F4205" s="77">
        <v>600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265"/>
      <c r="O4205" s="81"/>
    </row>
    <row r="4206" spans="1:15" hidden="1" x14ac:dyDescent="0.35">
      <c r="A4206" s="249" t="s">
        <v>2206</v>
      </c>
      <c r="B4206" s="9" t="s">
        <v>2137</v>
      </c>
      <c r="C4206" s="76">
        <v>44554</v>
      </c>
      <c r="D4206" s="264"/>
      <c r="E4206" s="250" t="s">
        <v>39</v>
      </c>
      <c r="F4206" s="77">
        <v>600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265"/>
      <c r="O4206" s="81"/>
    </row>
    <row r="4207" spans="1:15" hidden="1" x14ac:dyDescent="0.35">
      <c r="A4207" s="249" t="s">
        <v>2206</v>
      </c>
      <c r="B4207" s="9" t="s">
        <v>2137</v>
      </c>
      <c r="C4207" s="76">
        <v>44554</v>
      </c>
      <c r="D4207" s="264"/>
      <c r="E4207" s="250" t="s">
        <v>28</v>
      </c>
      <c r="F4207" s="77">
        <v>600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265"/>
      <c r="O4207" s="81"/>
    </row>
    <row r="4208" spans="1:15" hidden="1" x14ac:dyDescent="0.35">
      <c r="A4208" s="249" t="s">
        <v>2774</v>
      </c>
      <c r="B4208" s="250" t="s">
        <v>1510</v>
      </c>
      <c r="C4208" s="76">
        <v>44754</v>
      </c>
      <c r="D4208" s="180"/>
      <c r="E4208" s="86" t="s">
        <v>28</v>
      </c>
      <c r="F4208" s="88">
        <v>240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x14ac:dyDescent="0.35">
      <c r="A4209" s="249" t="s">
        <v>2774</v>
      </c>
      <c r="B4209" s="250" t="s">
        <v>1510</v>
      </c>
      <c r="C4209" s="76">
        <v>44754</v>
      </c>
      <c r="D4209" s="180"/>
      <c r="E4209" s="161" t="s">
        <v>25</v>
      </c>
      <c r="F4209" s="88">
        <v>360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324"/>
      <c r="O4209" s="81"/>
    </row>
    <row r="4210" spans="1:15" hidden="1" x14ac:dyDescent="0.35">
      <c r="A4210" s="249" t="s">
        <v>2395</v>
      </c>
      <c r="B4210" s="9" t="s">
        <v>2382</v>
      </c>
      <c r="C4210" s="76">
        <v>44648</v>
      </c>
      <c r="D4210" s="264"/>
      <c r="E4210" s="250" t="s">
        <v>18</v>
      </c>
      <c r="F4210" s="77">
        <v>240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251" t="s">
        <v>1074</v>
      </c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39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25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25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150" t="s">
        <v>2382</v>
      </c>
      <c r="C4213" s="76">
        <v>44648</v>
      </c>
      <c r="D4213" s="264"/>
      <c r="E4213" s="250" t="s">
        <v>79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161" t="s">
        <v>28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4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9" t="s">
        <v>2383</v>
      </c>
      <c r="C4215" s="76">
        <v>44648</v>
      </c>
      <c r="D4215" s="264"/>
      <c r="E4215" s="250" t="s">
        <v>1164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0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1193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2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1140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131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150" t="s">
        <v>2383</v>
      </c>
      <c r="C4218" s="76">
        <v>44648</v>
      </c>
      <c r="D4218" s="264"/>
      <c r="E4218" s="250" t="s">
        <v>1153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41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9" t="s">
        <v>2383</v>
      </c>
      <c r="C4219" s="76">
        <v>44648</v>
      </c>
      <c r="D4219" s="264"/>
      <c r="E4219" s="250" t="s">
        <v>2403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2381</v>
      </c>
      <c r="C4220" s="76">
        <v>44648</v>
      </c>
      <c r="D4220" s="264"/>
      <c r="E4220" s="250" t="s">
        <v>18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0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39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4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28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12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79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27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25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8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2380</v>
      </c>
      <c r="C4225" s="76">
        <v>44648</v>
      </c>
      <c r="D4225" s="264"/>
      <c r="E4225" s="250" t="s">
        <v>18</v>
      </c>
      <c r="F4225" s="77">
        <f>1200/4</f>
        <v>300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33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39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4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28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31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79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12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2774</v>
      </c>
      <c r="B4229" s="313" t="s">
        <v>1510</v>
      </c>
      <c r="C4229" s="76">
        <v>44754</v>
      </c>
      <c r="D4229" s="180"/>
      <c r="E4229" s="86" t="s">
        <v>39</v>
      </c>
      <c r="F4229" s="88">
        <v>240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0</v>
      </c>
      <c r="L4229" s="78"/>
      <c r="M4229" s="80"/>
      <c r="N4229" s="324"/>
      <c r="O4229" s="81"/>
    </row>
    <row r="4230" spans="1:15" x14ac:dyDescent="0.35">
      <c r="A4230" s="249" t="s">
        <v>2774</v>
      </c>
      <c r="B4230" s="313" t="s">
        <v>1510</v>
      </c>
      <c r="C4230" s="76">
        <v>44754</v>
      </c>
      <c r="D4230" s="180"/>
      <c r="E4230" s="161" t="s">
        <v>18</v>
      </c>
      <c r="F4230" s="88">
        <v>360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3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hidden="1" x14ac:dyDescent="0.35">
      <c r="A4231" s="249" t="s">
        <v>2739</v>
      </c>
      <c r="B4231" s="314" t="s">
        <v>1601</v>
      </c>
      <c r="C4231" s="76">
        <v>44741</v>
      </c>
      <c r="D4231" s="180"/>
      <c r="E4231" s="86" t="s">
        <v>25</v>
      </c>
      <c r="F4231" s="88">
        <v>360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8</v>
      </c>
      <c r="L4231" s="78"/>
      <c r="M4231" s="80"/>
      <c r="N4231" s="324"/>
      <c r="O4231" s="81"/>
    </row>
    <row r="4232" spans="1:15" hidden="1" x14ac:dyDescent="0.35">
      <c r="A4232" s="249" t="s">
        <v>2739</v>
      </c>
      <c r="B4232" s="314" t="s">
        <v>1601</v>
      </c>
      <c r="C4232" s="76">
        <v>44741</v>
      </c>
      <c r="D4232" s="180"/>
      <c r="E4232" s="86" t="s">
        <v>18</v>
      </c>
      <c r="F4232" s="88">
        <v>360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324"/>
      <c r="O4232" s="81"/>
    </row>
    <row r="4233" spans="1:15" hidden="1" x14ac:dyDescent="0.35">
      <c r="A4233" s="249" t="s">
        <v>2739</v>
      </c>
      <c r="B4233" s="314" t="s">
        <v>1601</v>
      </c>
      <c r="C4233" s="76">
        <v>44741</v>
      </c>
      <c r="D4233" s="180"/>
      <c r="E4233" s="86" t="s">
        <v>28</v>
      </c>
      <c r="F4233" s="88">
        <v>240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4"/>
      <c r="O4233" s="81"/>
    </row>
    <row r="4234" spans="1:15" hidden="1" x14ac:dyDescent="0.35">
      <c r="A4234" s="249" t="s">
        <v>2720</v>
      </c>
      <c r="B4234" s="321" t="s">
        <v>1600</v>
      </c>
      <c r="C4234" s="76">
        <v>44734</v>
      </c>
      <c r="D4234" s="180"/>
      <c r="E4234" s="261" t="s">
        <v>25</v>
      </c>
      <c r="F4234" s="88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324"/>
      <c r="O4234" s="251" t="s">
        <v>1074</v>
      </c>
    </row>
    <row r="4235" spans="1:15" hidden="1" x14ac:dyDescent="0.35">
      <c r="A4235" s="249" t="s">
        <v>2760</v>
      </c>
      <c r="B4235" s="322" t="s">
        <v>2222</v>
      </c>
      <c r="C4235" s="76">
        <v>44750</v>
      </c>
      <c r="D4235" s="180"/>
      <c r="E4235" s="86" t="s">
        <v>39</v>
      </c>
      <c r="F4235" s="88">
        <v>240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4"/>
      <c r="O4235" s="251" t="s">
        <v>1074</v>
      </c>
    </row>
    <row r="4236" spans="1:15" hidden="1" x14ac:dyDescent="0.35">
      <c r="A4236" s="249" t="s">
        <v>2760</v>
      </c>
      <c r="B4236" s="322" t="s">
        <v>2222</v>
      </c>
      <c r="C4236" s="76">
        <v>44750</v>
      </c>
      <c r="D4236" s="180"/>
      <c r="E4236" s="86" t="s">
        <v>18</v>
      </c>
      <c r="F4236" s="88">
        <v>360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2760</v>
      </c>
      <c r="B4237" s="322" t="s">
        <v>2222</v>
      </c>
      <c r="C4237" s="76">
        <v>44750</v>
      </c>
      <c r="D4237" s="207"/>
      <c r="E4237" s="181" t="s">
        <v>25</v>
      </c>
      <c r="F4237" s="72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2760</v>
      </c>
      <c r="B4238" s="322" t="s">
        <v>2222</v>
      </c>
      <c r="C4238" s="76">
        <v>44750</v>
      </c>
      <c r="D4238" s="180"/>
      <c r="E4238" s="86" t="s">
        <v>28</v>
      </c>
      <c r="F4238" s="88">
        <v>240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2720</v>
      </c>
      <c r="B4239" s="321" t="s">
        <v>1600</v>
      </c>
      <c r="C4239" s="76">
        <v>44734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hidden="1" x14ac:dyDescent="0.35">
      <c r="A4240" s="249" t="s">
        <v>2720</v>
      </c>
      <c r="B4240" s="161" t="s">
        <v>1600</v>
      </c>
      <c r="C4240" s="76">
        <v>44734</v>
      </c>
      <c r="D4240" s="180"/>
      <c r="E4240" s="86" t="s">
        <v>18</v>
      </c>
      <c r="F4240" s="88">
        <v>360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4"/>
      <c r="O4240" s="251" t="s">
        <v>1074</v>
      </c>
    </row>
    <row r="4241" spans="1:15" hidden="1" x14ac:dyDescent="0.35">
      <c r="A4241" s="249" t="s">
        <v>2720</v>
      </c>
      <c r="B4241" s="161" t="s">
        <v>1600</v>
      </c>
      <c r="C4241" s="76">
        <v>44734</v>
      </c>
      <c r="D4241" s="180"/>
      <c r="E4241" s="161" t="s">
        <v>39</v>
      </c>
      <c r="F4241" s="88">
        <v>360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4"/>
      <c r="O4241" s="251" t="s">
        <v>1074</v>
      </c>
    </row>
    <row r="4242" spans="1:15" hidden="1" x14ac:dyDescent="0.35">
      <c r="A4242" s="249" t="s">
        <v>2771</v>
      </c>
      <c r="B4242" s="151" t="s">
        <v>1438</v>
      </c>
      <c r="C4242" s="76">
        <v>44754</v>
      </c>
      <c r="D4242" s="180"/>
      <c r="E4242" s="86" t="s">
        <v>39</v>
      </c>
      <c r="F4242" s="88">
        <v>240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4"/>
      <c r="O4242" s="251" t="s">
        <v>1074</v>
      </c>
    </row>
    <row r="4243" spans="1:15" hidden="1" x14ac:dyDescent="0.35">
      <c r="A4243" s="249" t="s">
        <v>2771</v>
      </c>
      <c r="B4243" s="151" t="s">
        <v>1438</v>
      </c>
      <c r="C4243" s="76">
        <v>44754</v>
      </c>
      <c r="D4243" s="180"/>
      <c r="E4243" s="86" t="s">
        <v>28</v>
      </c>
      <c r="F4243" s="88">
        <v>240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251" t="s">
        <v>1074</v>
      </c>
    </row>
    <row r="4244" spans="1:15" hidden="1" x14ac:dyDescent="0.35">
      <c r="A4244" s="249" t="s">
        <v>2771</v>
      </c>
      <c r="B4244" s="151" t="s">
        <v>1438</v>
      </c>
      <c r="C4244" s="76">
        <v>44754</v>
      </c>
      <c r="D4244" s="180"/>
      <c r="E4244" s="86" t="s">
        <v>25</v>
      </c>
      <c r="F4244" s="88">
        <v>360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4"/>
      <c r="O4244" s="251" t="s">
        <v>1074</v>
      </c>
    </row>
    <row r="4245" spans="1:15" hidden="1" x14ac:dyDescent="0.35">
      <c r="A4245" s="249" t="s">
        <v>2771</v>
      </c>
      <c r="B4245" s="151" t="s">
        <v>1438</v>
      </c>
      <c r="C4245" s="76">
        <v>44754</v>
      </c>
      <c r="D4245" s="180"/>
      <c r="E4245" s="86" t="s">
        <v>18</v>
      </c>
      <c r="F4245" s="88">
        <v>360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4"/>
      <c r="O4245" s="251" t="s">
        <v>1074</v>
      </c>
    </row>
    <row r="4246" spans="1:15" hidden="1" x14ac:dyDescent="0.35">
      <c r="A4246" s="249" t="s">
        <v>2739</v>
      </c>
      <c r="B4246" s="261" t="s">
        <v>1601</v>
      </c>
      <c r="C4246" s="76">
        <v>44741</v>
      </c>
      <c r="D4246" s="180"/>
      <c r="E4246" s="87" t="s">
        <v>39</v>
      </c>
      <c r="F4246" s="88">
        <v>240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4"/>
      <c r="O4246" s="81"/>
    </row>
    <row r="4247" spans="1:15" hidden="1" x14ac:dyDescent="0.35">
      <c r="A4247" s="249" t="s">
        <v>2566</v>
      </c>
      <c r="B4247" s="151" t="s">
        <v>1643</v>
      </c>
      <c r="C4247" s="76">
        <v>44687</v>
      </c>
      <c r="D4247" s="180"/>
      <c r="E4247" s="161" t="s">
        <v>25</v>
      </c>
      <c r="F4247" s="88">
        <v>360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hidden="1" x14ac:dyDescent="0.35">
      <c r="A4248" s="249" t="s">
        <v>2566</v>
      </c>
      <c r="B4248" s="322" t="s">
        <v>1643</v>
      </c>
      <c r="C4248" s="76">
        <v>44687</v>
      </c>
      <c r="D4248" s="180"/>
      <c r="E4248" s="161" t="s">
        <v>28</v>
      </c>
      <c r="F4248" s="88">
        <v>240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hidden="1" x14ac:dyDescent="0.35">
      <c r="A4249" s="249" t="s">
        <v>2566</v>
      </c>
      <c r="B4249" s="151" t="s">
        <v>1643</v>
      </c>
      <c r="C4249" s="76">
        <v>44687</v>
      </c>
      <c r="D4249" s="180"/>
      <c r="E4249" s="86" t="s">
        <v>18</v>
      </c>
      <c r="F4249" s="88">
        <v>360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hidden="1" x14ac:dyDescent="0.35">
      <c r="A4250" s="249" t="s">
        <v>2566</v>
      </c>
      <c r="B4250" s="261" t="s">
        <v>1643</v>
      </c>
      <c r="C4250" s="76">
        <v>44687</v>
      </c>
      <c r="D4250" s="180"/>
      <c r="E4250" s="86" t="s">
        <v>39</v>
      </c>
      <c r="F4250" s="88">
        <v>240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hidden="1" x14ac:dyDescent="0.35">
      <c r="A4251" s="249" t="s">
        <v>2417</v>
      </c>
      <c r="B4251" s="9" t="s">
        <v>2202</v>
      </c>
      <c r="C4251" s="76">
        <v>44655</v>
      </c>
      <c r="D4251" s="180"/>
      <c r="E4251" s="86" t="s">
        <v>25</v>
      </c>
      <c r="F4251" s="88">
        <v>360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2417</v>
      </c>
      <c r="B4252" s="9" t="s">
        <v>2202</v>
      </c>
      <c r="C4252" s="76">
        <v>44655</v>
      </c>
      <c r="D4252" s="180"/>
      <c r="E4252" s="161" t="s">
        <v>28</v>
      </c>
      <c r="F4252" s="88">
        <v>240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3</v>
      </c>
      <c r="L4252" s="78"/>
      <c r="M4252" s="80"/>
      <c r="N4252" s="282"/>
      <c r="O4252" s="81"/>
    </row>
    <row r="4253" spans="1:15" hidden="1" x14ac:dyDescent="0.35">
      <c r="A4253" s="249" t="s">
        <v>2417</v>
      </c>
      <c r="B4253" s="9" t="s">
        <v>2202</v>
      </c>
      <c r="C4253" s="76">
        <v>44655</v>
      </c>
      <c r="D4253" s="180"/>
      <c r="E4253" s="161" t="s">
        <v>39</v>
      </c>
      <c r="F4253" s="88">
        <v>240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16</v>
      </c>
      <c r="L4253" s="78"/>
      <c r="M4253" s="80"/>
      <c r="N4253" s="282"/>
      <c r="O4253" s="81"/>
    </row>
    <row r="4254" spans="1:15" hidden="1" x14ac:dyDescent="0.35">
      <c r="A4254" s="249" t="s">
        <v>2738</v>
      </c>
      <c r="B4254" s="261" t="s">
        <v>1601</v>
      </c>
      <c r="C4254" s="76">
        <v>44732</v>
      </c>
      <c r="D4254" s="180"/>
      <c r="E4254" s="86" t="s">
        <v>25</v>
      </c>
      <c r="F4254" s="88">
        <v>360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251" t="s">
        <v>1074</v>
      </c>
    </row>
    <row r="4255" spans="1:15" hidden="1" x14ac:dyDescent="0.35">
      <c r="A4255" s="249" t="s">
        <v>2738</v>
      </c>
      <c r="B4255" s="314" t="s">
        <v>1601</v>
      </c>
      <c r="C4255" s="76">
        <v>44732</v>
      </c>
      <c r="D4255" s="180"/>
      <c r="E4255" s="86" t="s">
        <v>18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26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2417</v>
      </c>
      <c r="B4256" s="9" t="s">
        <v>2202</v>
      </c>
      <c r="C4256" s="76">
        <v>44655</v>
      </c>
      <c r="D4256" s="180"/>
      <c r="E4256" s="161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282"/>
      <c r="O4256" s="81"/>
    </row>
    <row r="4257" spans="1:15" hidden="1" x14ac:dyDescent="0.35">
      <c r="A4257" s="249" t="s">
        <v>2800</v>
      </c>
      <c r="B4257" s="161" t="s">
        <v>1600</v>
      </c>
      <c r="C4257" s="76">
        <v>44762</v>
      </c>
      <c r="D4257" s="180"/>
      <c r="E4257" s="261" t="s">
        <v>25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4"/>
      <c r="O4257" s="81"/>
    </row>
    <row r="4258" spans="1:15" hidden="1" x14ac:dyDescent="0.35">
      <c r="A4258" s="249" t="s">
        <v>2800</v>
      </c>
      <c r="B4258" s="161" t="s">
        <v>1600</v>
      </c>
      <c r="C4258" s="76">
        <v>44762</v>
      </c>
      <c r="D4258" s="180"/>
      <c r="E4258" s="86" t="s">
        <v>28</v>
      </c>
      <c r="F4258" s="88">
        <v>240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hidden="1" x14ac:dyDescent="0.35">
      <c r="A4259" s="249" t="s">
        <v>2800</v>
      </c>
      <c r="B4259" s="161" t="s">
        <v>1600</v>
      </c>
      <c r="C4259" s="76">
        <v>44762</v>
      </c>
      <c r="D4259" s="180"/>
      <c r="E4259" s="86" t="s">
        <v>18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4"/>
      <c r="O4259" s="81"/>
    </row>
    <row r="4260" spans="1:15" hidden="1" x14ac:dyDescent="0.35">
      <c r="A4260" s="249" t="s">
        <v>2741</v>
      </c>
      <c r="B4260" s="322" t="s">
        <v>2080</v>
      </c>
      <c r="C4260" s="76">
        <v>44741</v>
      </c>
      <c r="D4260" s="235"/>
      <c r="E4260" s="250" t="s">
        <v>28</v>
      </c>
      <c r="F4260" s="77">
        <v>1200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6</v>
      </c>
      <c r="L4260" s="78"/>
      <c r="M4260" s="80"/>
      <c r="N4260" s="324"/>
      <c r="O4260" s="251" t="s">
        <v>1074</v>
      </c>
    </row>
    <row r="4261" spans="1:15" hidden="1" x14ac:dyDescent="0.35">
      <c r="A4261" s="249" t="s">
        <v>2742</v>
      </c>
      <c r="B4261" s="151" t="s">
        <v>1438</v>
      </c>
      <c r="C4261" s="76">
        <v>44741</v>
      </c>
      <c r="D4261" s="180"/>
      <c r="E4261" s="86" t="s">
        <v>39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2742</v>
      </c>
      <c r="B4262" s="151" t="s">
        <v>1438</v>
      </c>
      <c r="C4262" s="76">
        <v>44741</v>
      </c>
      <c r="D4262" s="180"/>
      <c r="E4262" s="86" t="s">
        <v>28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2742</v>
      </c>
      <c r="B4263" s="151" t="s">
        <v>1438</v>
      </c>
      <c r="C4263" s="76">
        <v>44741</v>
      </c>
      <c r="D4263" s="180"/>
      <c r="E4263" s="86" t="s">
        <v>25</v>
      </c>
      <c r="F4263" s="72">
        <v>360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2742</v>
      </c>
      <c r="B4264" s="151" t="s">
        <v>1438</v>
      </c>
      <c r="C4264" s="76">
        <v>44741</v>
      </c>
      <c r="D4264" s="180"/>
      <c r="E4264" s="86" t="s">
        <v>18</v>
      </c>
      <c r="F4264" s="88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4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2743</v>
      </c>
      <c r="B4265" s="151" t="s">
        <v>2222</v>
      </c>
      <c r="C4265" s="76">
        <v>44741</v>
      </c>
      <c r="D4265" s="180"/>
      <c r="E4265" s="86" t="s">
        <v>39</v>
      </c>
      <c r="F4265" s="88">
        <v>240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2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2743</v>
      </c>
      <c r="B4266" s="151" t="s">
        <v>2222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0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2743</v>
      </c>
      <c r="B4267" s="151" t="s">
        <v>2222</v>
      </c>
      <c r="C4267" s="76">
        <v>44741</v>
      </c>
      <c r="D4267" s="180"/>
      <c r="E4267" s="161" t="s">
        <v>25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2743</v>
      </c>
      <c r="B4268" s="151" t="s">
        <v>2222</v>
      </c>
      <c r="C4268" s="76">
        <v>44741</v>
      </c>
      <c r="D4268" s="180"/>
      <c r="E4268" s="86" t="s">
        <v>28</v>
      </c>
      <c r="F4268" s="88">
        <v>240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5</v>
      </c>
      <c r="L4268" s="78"/>
      <c r="M4268" s="80"/>
      <c r="N4268" s="210"/>
      <c r="O4268" s="251" t="s">
        <v>1074</v>
      </c>
    </row>
    <row r="4269" spans="1:15" x14ac:dyDescent="0.35">
      <c r="A4269" s="249" t="s">
        <v>2800</v>
      </c>
      <c r="B4269" s="161" t="s">
        <v>1600</v>
      </c>
      <c r="C4269" s="76">
        <v>44762</v>
      </c>
      <c r="D4269" s="180"/>
      <c r="E4269" s="161" t="s">
        <v>39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4"/>
      <c r="O4269" s="81"/>
    </row>
    <row r="4270" spans="1:15" hidden="1" x14ac:dyDescent="0.35">
      <c r="A4270" s="249" t="s">
        <v>2798</v>
      </c>
      <c r="B4270" s="151" t="s">
        <v>1438</v>
      </c>
      <c r="C4270" s="89">
        <v>44760</v>
      </c>
      <c r="D4270" s="180"/>
      <c r="E4270" s="86" t="s">
        <v>39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4"/>
      <c r="O4270" s="81"/>
    </row>
    <row r="4271" spans="1:15" hidden="1" x14ac:dyDescent="0.35">
      <c r="A4271" s="249" t="s">
        <v>2741</v>
      </c>
      <c r="B4271" s="322" t="s">
        <v>2080</v>
      </c>
      <c r="C4271" s="76">
        <v>44741</v>
      </c>
      <c r="D4271" s="235"/>
      <c r="E4271" s="250" t="s">
        <v>39</v>
      </c>
      <c r="F4271" s="77">
        <v>600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4"/>
      <c r="O4271" s="251" t="s">
        <v>1074</v>
      </c>
    </row>
    <row r="4272" spans="1:15" hidden="1" x14ac:dyDescent="0.35">
      <c r="A4272" s="249" t="s">
        <v>2744</v>
      </c>
      <c r="B4272" s="151" t="s">
        <v>1421</v>
      </c>
      <c r="C4272" s="76">
        <v>44736</v>
      </c>
      <c r="D4272" s="180"/>
      <c r="E4272" s="86" t="s">
        <v>39</v>
      </c>
      <c r="F4272" s="88">
        <v>240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2744</v>
      </c>
      <c r="B4273" s="151" t="s">
        <v>1421</v>
      </c>
      <c r="C4273" s="76">
        <v>44736</v>
      </c>
      <c r="D4273" s="180"/>
      <c r="E4273" s="86" t="s">
        <v>28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x14ac:dyDescent="0.35">
      <c r="A4274" s="249" t="s">
        <v>2798</v>
      </c>
      <c r="B4274" s="322" t="s">
        <v>1438</v>
      </c>
      <c r="C4274" s="89">
        <v>44760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7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81"/>
    </row>
    <row r="4275" spans="1:15" x14ac:dyDescent="0.35">
      <c r="A4275" s="249" t="s">
        <v>2798</v>
      </c>
      <c r="B4275" s="151" t="s">
        <v>1438</v>
      </c>
      <c r="C4275" s="89">
        <v>44760</v>
      </c>
      <c r="D4275" s="180"/>
      <c r="E4275" s="86" t="s">
        <v>25</v>
      </c>
      <c r="F4275" s="88">
        <v>360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4"/>
      <c r="O4275" s="81"/>
    </row>
    <row r="4276" spans="1:15" x14ac:dyDescent="0.35">
      <c r="A4276" s="249" t="s">
        <v>2798</v>
      </c>
      <c r="B4276" s="151" t="s">
        <v>1438</v>
      </c>
      <c r="C4276" s="89">
        <v>44760</v>
      </c>
      <c r="D4276" s="180"/>
      <c r="E4276" s="86" t="s">
        <v>18</v>
      </c>
      <c r="F4276" s="88">
        <v>360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4"/>
      <c r="O4276" s="81"/>
    </row>
    <row r="4277" spans="1:15" hidden="1" x14ac:dyDescent="0.35">
      <c r="A4277" s="249" t="s">
        <v>2199</v>
      </c>
      <c r="B4277" s="9" t="s">
        <v>2116</v>
      </c>
      <c r="C4277" s="76">
        <v>44572</v>
      </c>
      <c r="D4277" s="235"/>
      <c r="E4277" s="250" t="s">
        <v>18</v>
      </c>
      <c r="F4277" s="77">
        <v>360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65"/>
      <c r="O4277" s="81"/>
    </row>
    <row r="4278" spans="1:15" hidden="1" x14ac:dyDescent="0.35">
      <c r="A4278" s="249" t="s">
        <v>2396</v>
      </c>
      <c r="B4278" s="151" t="s">
        <v>2391</v>
      </c>
      <c r="C4278" s="76">
        <v>44649</v>
      </c>
      <c r="D4278" s="264"/>
      <c r="E4278" s="250" t="s">
        <v>75</v>
      </c>
      <c r="F4278" s="77">
        <v>600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82"/>
      <c r="O4278" s="81"/>
    </row>
    <row r="4279" spans="1:15" hidden="1" x14ac:dyDescent="0.35">
      <c r="A4279" s="249" t="s">
        <v>2396</v>
      </c>
      <c r="B4279" s="326" t="s">
        <v>2391</v>
      </c>
      <c r="C4279" s="76">
        <v>44649</v>
      </c>
      <c r="D4279" s="264"/>
      <c r="E4279" s="250" t="s">
        <v>2039</v>
      </c>
      <c r="F4279" s="77">
        <v>600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82"/>
      <c r="O4279" s="81"/>
    </row>
    <row r="4280" spans="1:15" hidden="1" x14ac:dyDescent="0.35">
      <c r="A4280" s="249" t="s">
        <v>2627</v>
      </c>
      <c r="B4280" s="326" t="s">
        <v>478</v>
      </c>
      <c r="C4280" s="76">
        <v>44700</v>
      </c>
      <c r="D4280" s="235"/>
      <c r="E4280" s="250" t="s">
        <v>39</v>
      </c>
      <c r="F4280" s="77">
        <v>480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82"/>
      <c r="O4280" s="81"/>
    </row>
    <row r="4281" spans="1:15" hidden="1" x14ac:dyDescent="0.35">
      <c r="A4281" s="249" t="s">
        <v>2627</v>
      </c>
      <c r="B4281" s="326" t="s">
        <v>478</v>
      </c>
      <c r="C4281" s="76">
        <v>44700</v>
      </c>
      <c r="D4281" s="235"/>
      <c r="E4281" s="250" t="s">
        <v>25</v>
      </c>
      <c r="F4281" s="77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282"/>
      <c r="O4281" s="81"/>
    </row>
    <row r="4282" spans="1:15" hidden="1" x14ac:dyDescent="0.35">
      <c r="A4282" s="249" t="s">
        <v>2627</v>
      </c>
      <c r="B4282" s="326" t="s">
        <v>478</v>
      </c>
      <c r="C4282" s="76">
        <v>44700</v>
      </c>
      <c r="D4282" s="235"/>
      <c r="E4282" s="157" t="s">
        <v>18</v>
      </c>
      <c r="F4282" s="77">
        <v>480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18</v>
      </c>
      <c r="L4282" s="78"/>
      <c r="M4282" s="80"/>
      <c r="N4282" s="282"/>
      <c r="O4282" s="81"/>
    </row>
    <row r="4283" spans="1:15" x14ac:dyDescent="0.35">
      <c r="A4283" s="249" t="s">
        <v>2802</v>
      </c>
      <c r="B4283" s="313" t="s">
        <v>2590</v>
      </c>
      <c r="C4283" s="76">
        <v>44762</v>
      </c>
      <c r="D4283" s="264"/>
      <c r="E4283" s="250" t="s">
        <v>28</v>
      </c>
      <c r="F4283" s="88">
        <v>300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2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4"/>
      <c r="O4283" s="81"/>
    </row>
    <row r="4284" spans="1:15" hidden="1" x14ac:dyDescent="0.35">
      <c r="A4284" s="249" t="s">
        <v>2677</v>
      </c>
      <c r="B4284" s="313" t="s">
        <v>2590</v>
      </c>
      <c r="C4284" s="76">
        <v>44718</v>
      </c>
      <c r="D4284" s="264"/>
      <c r="E4284" s="250" t="s">
        <v>79</v>
      </c>
      <c r="F4284" s="88">
        <v>100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4"/>
      <c r="O4284" s="81"/>
    </row>
    <row r="4285" spans="1:15" hidden="1" x14ac:dyDescent="0.35">
      <c r="A4285" s="249" t="s">
        <v>2677</v>
      </c>
      <c r="B4285" s="313" t="s">
        <v>2590</v>
      </c>
      <c r="C4285" s="76">
        <v>44718</v>
      </c>
      <c r="D4285" s="264"/>
      <c r="E4285" s="250" t="s">
        <v>28</v>
      </c>
      <c r="F4285" s="88">
        <v>330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4"/>
      <c r="O4285" s="81"/>
    </row>
    <row r="4286" spans="1:15" hidden="1" x14ac:dyDescent="0.35">
      <c r="A4286" s="249" t="s">
        <v>2650</v>
      </c>
      <c r="B4286" s="313" t="s">
        <v>2590</v>
      </c>
      <c r="C4286" s="76">
        <v>44718</v>
      </c>
      <c r="D4286" s="264"/>
      <c r="E4286" s="250" t="s">
        <v>18</v>
      </c>
      <c r="F4286" s="77">
        <v>756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2</v>
      </c>
      <c r="L4286" s="78"/>
      <c r="M4286" s="80"/>
      <c r="N4286" s="324"/>
      <c r="O4286" s="81"/>
    </row>
    <row r="4287" spans="1:15" hidden="1" x14ac:dyDescent="0.35">
      <c r="A4287" s="249" t="s">
        <v>2650</v>
      </c>
      <c r="B4287" s="313" t="s">
        <v>2590</v>
      </c>
      <c r="C4287" s="76">
        <v>44718</v>
      </c>
      <c r="D4287" s="264"/>
      <c r="E4287" s="250" t="s">
        <v>135</v>
      </c>
      <c r="F4287" s="77">
        <v>200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4"/>
      <c r="O4287" s="81"/>
    </row>
    <row r="4288" spans="1:15" hidden="1" x14ac:dyDescent="0.35">
      <c r="A4288" s="249" t="s">
        <v>2650</v>
      </c>
      <c r="B4288" s="313" t="s">
        <v>2590</v>
      </c>
      <c r="C4288" s="76">
        <v>44718</v>
      </c>
      <c r="D4288" s="264"/>
      <c r="E4288" s="250" t="s">
        <v>203</v>
      </c>
      <c r="F4288" s="77">
        <v>360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4"/>
      <c r="O4288" s="81"/>
    </row>
    <row r="4289" spans="1:15" hidden="1" x14ac:dyDescent="0.35">
      <c r="A4289" s="249" t="s">
        <v>2789</v>
      </c>
      <c r="B4289" s="322" t="s">
        <v>1306</v>
      </c>
      <c r="C4289" s="76">
        <v>44757</v>
      </c>
      <c r="D4289" s="264"/>
      <c r="E4289" s="250" t="s">
        <v>28</v>
      </c>
      <c r="F4289" s="77">
        <v>600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4"/>
      <c r="O4289" s="81"/>
    </row>
    <row r="4290" spans="1:15" hidden="1" x14ac:dyDescent="0.35">
      <c r="A4290" s="249" t="s">
        <v>2704</v>
      </c>
      <c r="B4290" s="313" t="s">
        <v>1306</v>
      </c>
      <c r="C4290" s="76">
        <v>44726</v>
      </c>
      <c r="D4290" s="264"/>
      <c r="E4290" s="250" t="s">
        <v>39</v>
      </c>
      <c r="F4290" s="77">
        <v>500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4"/>
      <c r="O4290" s="81"/>
    </row>
    <row r="4291" spans="1:15" hidden="1" x14ac:dyDescent="0.35">
      <c r="A4291" s="249" t="s">
        <v>2704</v>
      </c>
      <c r="B4291" s="250" t="s">
        <v>1306</v>
      </c>
      <c r="C4291" s="76">
        <v>44726</v>
      </c>
      <c r="D4291" s="264"/>
      <c r="E4291" s="250" t="s">
        <v>79</v>
      </c>
      <c r="F4291" s="77">
        <v>500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4"/>
      <c r="O4291" s="81"/>
    </row>
    <row r="4292" spans="1:15" hidden="1" x14ac:dyDescent="0.35">
      <c r="A4292" s="249" t="s">
        <v>2704</v>
      </c>
      <c r="B4292" s="250" t="s">
        <v>1306</v>
      </c>
      <c r="C4292" s="76">
        <v>44726</v>
      </c>
      <c r="D4292" s="264"/>
      <c r="E4292" s="250" t="s">
        <v>28</v>
      </c>
      <c r="F4292" s="77">
        <v>500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4"/>
      <c r="O4292" s="81"/>
    </row>
    <row r="4293" spans="1:15" hidden="1" x14ac:dyDescent="0.35">
      <c r="A4293" s="249" t="s">
        <v>2682</v>
      </c>
      <c r="B4293" s="9" t="s">
        <v>239</v>
      </c>
      <c r="C4293" s="76">
        <v>44718</v>
      </c>
      <c r="D4293" s="180"/>
      <c r="E4293" s="161" t="s">
        <v>18</v>
      </c>
      <c r="F4293" s="77">
        <v>240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4"/>
      <c r="O4293" s="81"/>
    </row>
    <row r="4294" spans="1:15" hidden="1" x14ac:dyDescent="0.35">
      <c r="A4294" s="249" t="s">
        <v>2682</v>
      </c>
      <c r="B4294" s="9" t="s">
        <v>239</v>
      </c>
      <c r="C4294" s="76">
        <v>44718</v>
      </c>
      <c r="D4294" s="235"/>
      <c r="E4294" s="157" t="s">
        <v>28</v>
      </c>
      <c r="F4294" s="77">
        <v>120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4"/>
      <c r="O4294" s="81"/>
    </row>
    <row r="4295" spans="1:15" hidden="1" x14ac:dyDescent="0.35">
      <c r="A4295" s="249" t="s">
        <v>2682</v>
      </c>
      <c r="B4295" s="9" t="s">
        <v>239</v>
      </c>
      <c r="C4295" s="76">
        <v>44718</v>
      </c>
      <c r="D4295" s="180"/>
      <c r="E4295" s="161" t="s">
        <v>39</v>
      </c>
      <c r="F4295" s="77">
        <v>120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4"/>
      <c r="O4295" s="81"/>
    </row>
    <row r="4296" spans="1:15" hidden="1" x14ac:dyDescent="0.35">
      <c r="A4296" s="249" t="s">
        <v>2682</v>
      </c>
      <c r="B4296" s="9" t="s">
        <v>239</v>
      </c>
      <c r="C4296" s="76">
        <v>44718</v>
      </c>
      <c r="D4296" s="235"/>
      <c r="E4296" s="250" t="s">
        <v>25</v>
      </c>
      <c r="F4296" s="77">
        <v>240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4"/>
      <c r="O4296" s="81"/>
    </row>
    <row r="4297" spans="1:15" hidden="1" x14ac:dyDescent="0.35">
      <c r="A4297" s="249" t="s">
        <v>2747</v>
      </c>
      <c r="B4297" s="9" t="s">
        <v>27</v>
      </c>
      <c r="C4297" s="76">
        <v>44742</v>
      </c>
      <c r="D4297" s="235"/>
      <c r="E4297" s="86" t="s">
        <v>28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4"/>
      <c r="O4297" s="81"/>
    </row>
    <row r="4298" spans="1:15" hidden="1" x14ac:dyDescent="0.35">
      <c r="A4298" s="249" t="s">
        <v>2747</v>
      </c>
      <c r="B4298" s="9" t="s">
        <v>27</v>
      </c>
      <c r="C4298" s="76">
        <v>44742</v>
      </c>
      <c r="D4298" s="235"/>
      <c r="E4298" s="86" t="s">
        <v>39</v>
      </c>
      <c r="F4298" s="88">
        <v>240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3</v>
      </c>
      <c r="L4298" s="78"/>
      <c r="M4298" s="80"/>
      <c r="N4298" s="324"/>
      <c r="O4298" s="81"/>
    </row>
    <row r="4299" spans="1:15" hidden="1" x14ac:dyDescent="0.35">
      <c r="A4299" s="249" t="s">
        <v>2747</v>
      </c>
      <c r="B4299" s="150" t="s">
        <v>27</v>
      </c>
      <c r="C4299" s="76">
        <v>44742</v>
      </c>
      <c r="D4299" s="235"/>
      <c r="E4299" s="86" t="s">
        <v>25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4"/>
      <c r="O4299" s="81"/>
    </row>
    <row r="4300" spans="1:15" hidden="1" x14ac:dyDescent="0.35">
      <c r="A4300" s="249" t="s">
        <v>2747</v>
      </c>
      <c r="B4300" s="9" t="s">
        <v>27</v>
      </c>
      <c r="C4300" s="76">
        <v>44742</v>
      </c>
      <c r="D4300" s="235"/>
      <c r="E4300" s="161" t="s">
        <v>18</v>
      </c>
      <c r="F4300" s="88">
        <v>360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4"/>
      <c r="O4300" s="81"/>
    </row>
    <row r="4301" spans="1:15" hidden="1" x14ac:dyDescent="0.35">
      <c r="A4301" s="249" t="s">
        <v>2782</v>
      </c>
      <c r="B4301" s="151" t="s">
        <v>30</v>
      </c>
      <c r="C4301" s="76">
        <v>44756</v>
      </c>
      <c r="D4301" s="180"/>
      <c r="E4301" s="86" t="s">
        <v>39</v>
      </c>
      <c r="F4301" s="88">
        <v>240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4"/>
      <c r="O4301" s="81"/>
    </row>
    <row r="4302" spans="1:15" hidden="1" x14ac:dyDescent="0.35">
      <c r="A4302" s="249" t="s">
        <v>2782</v>
      </c>
      <c r="B4302" s="151" t="s">
        <v>30</v>
      </c>
      <c r="C4302" s="76">
        <v>44756</v>
      </c>
      <c r="D4302" s="180"/>
      <c r="E4302" s="86" t="s">
        <v>28</v>
      </c>
      <c r="F4302" s="88">
        <v>240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4"/>
      <c r="O4302" s="81"/>
    </row>
    <row r="4303" spans="1:15" hidden="1" x14ac:dyDescent="0.35">
      <c r="A4303" s="249" t="s">
        <v>2660</v>
      </c>
      <c r="B4303" s="157" t="s">
        <v>104</v>
      </c>
      <c r="C4303" s="76">
        <v>44707</v>
      </c>
      <c r="D4303" s="180"/>
      <c r="E4303" s="86" t="s">
        <v>28</v>
      </c>
      <c r="F4303" s="88">
        <v>240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251" t="s">
        <v>1074</v>
      </c>
    </row>
    <row r="4304" spans="1:15" hidden="1" x14ac:dyDescent="0.35">
      <c r="A4304" s="249" t="s">
        <v>2660</v>
      </c>
      <c r="B4304" s="320" t="s">
        <v>104</v>
      </c>
      <c r="C4304" s="76">
        <v>44707</v>
      </c>
      <c r="D4304" s="180"/>
      <c r="E4304" s="86" t="s">
        <v>25</v>
      </c>
      <c r="F4304" s="88">
        <v>360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251" t="s">
        <v>1074</v>
      </c>
    </row>
    <row r="4305" spans="1:15" hidden="1" x14ac:dyDescent="0.35">
      <c r="A4305" s="249" t="s">
        <v>2660</v>
      </c>
      <c r="B4305" s="320" t="s">
        <v>104</v>
      </c>
      <c r="C4305" s="76">
        <v>44707</v>
      </c>
      <c r="D4305" s="180"/>
      <c r="E4305" s="86" t="s">
        <v>39</v>
      </c>
      <c r="F4305" s="88">
        <v>240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251" t="s">
        <v>1074</v>
      </c>
    </row>
    <row r="4306" spans="1:15" hidden="1" x14ac:dyDescent="0.35">
      <c r="A4306" s="249" t="s">
        <v>2660</v>
      </c>
      <c r="B4306" s="320" t="s">
        <v>104</v>
      </c>
      <c r="C4306" s="76">
        <v>44707</v>
      </c>
      <c r="D4306" s="180"/>
      <c r="E4306" s="86" t="s">
        <v>18</v>
      </c>
      <c r="F4306" s="88">
        <v>360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251" t="s">
        <v>1074</v>
      </c>
    </row>
    <row r="4307" spans="1:15" x14ac:dyDescent="0.35">
      <c r="A4307" s="249" t="s">
        <v>2782</v>
      </c>
      <c r="B4307" s="322" t="s">
        <v>30</v>
      </c>
      <c r="C4307" s="76">
        <v>44756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4"/>
      <c r="O4307" s="81"/>
    </row>
    <row r="4308" spans="1:15" x14ac:dyDescent="0.35">
      <c r="A4308" s="249" t="s">
        <v>2782</v>
      </c>
      <c r="B4308" s="151" t="s">
        <v>30</v>
      </c>
      <c r="C4308" s="76">
        <v>44756</v>
      </c>
      <c r="D4308" s="180"/>
      <c r="E4308" s="261" t="s">
        <v>25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4"/>
      <c r="O4308" s="81"/>
    </row>
    <row r="4309" spans="1:15" hidden="1" x14ac:dyDescent="0.35">
      <c r="A4309" s="249" t="s">
        <v>2763</v>
      </c>
      <c r="B4309" s="9" t="s">
        <v>1336</v>
      </c>
      <c r="C4309" s="76">
        <v>44750</v>
      </c>
      <c r="D4309" s="264"/>
      <c r="E4309" s="157" t="s">
        <v>28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4"/>
      <c r="O4309" s="81"/>
    </row>
    <row r="4310" spans="1:15" hidden="1" x14ac:dyDescent="0.35">
      <c r="A4310" s="249" t="s">
        <v>2763</v>
      </c>
      <c r="B4310" s="9" t="s">
        <v>1336</v>
      </c>
      <c r="C4310" s="76">
        <v>44750</v>
      </c>
      <c r="D4310" s="264"/>
      <c r="E4310" s="157" t="s">
        <v>18</v>
      </c>
      <c r="F4310" s="72">
        <v>600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4"/>
      <c r="O4310" s="81"/>
    </row>
    <row r="4311" spans="1:15" hidden="1" x14ac:dyDescent="0.35">
      <c r="A4311" s="249" t="s">
        <v>2763</v>
      </c>
      <c r="B4311" s="9" t="s">
        <v>1336</v>
      </c>
      <c r="C4311" s="76">
        <v>44750</v>
      </c>
      <c r="D4311" s="264"/>
      <c r="E4311" s="157" t="s">
        <v>39</v>
      </c>
      <c r="F4311" s="88">
        <v>240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81"/>
    </row>
    <row r="4312" spans="1:15" hidden="1" x14ac:dyDescent="0.35">
      <c r="A4312" s="249" t="s">
        <v>2763</v>
      </c>
      <c r="B4312" s="150" t="s">
        <v>1336</v>
      </c>
      <c r="C4312" s="76">
        <v>44750</v>
      </c>
      <c r="D4312" s="264"/>
      <c r="E4312" s="157" t="s">
        <v>25</v>
      </c>
      <c r="F4312" s="88">
        <v>360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4"/>
      <c r="O4312" s="81"/>
    </row>
    <row r="4313" spans="1:15" hidden="1" x14ac:dyDescent="0.35">
      <c r="A4313" s="249" t="s">
        <v>2783</v>
      </c>
      <c r="B4313" s="161" t="s">
        <v>238</v>
      </c>
      <c r="C4313" s="76">
        <v>44753</v>
      </c>
      <c r="D4313" s="235"/>
      <c r="E4313" s="261" t="s">
        <v>28</v>
      </c>
      <c r="F4313" s="88">
        <v>1000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4"/>
      <c r="O4313" s="81"/>
    </row>
    <row r="4314" spans="1:15" hidden="1" x14ac:dyDescent="0.35">
      <c r="A4314" s="249" t="s">
        <v>2783</v>
      </c>
      <c r="B4314" s="161" t="s">
        <v>238</v>
      </c>
      <c r="C4314" s="76">
        <v>44753</v>
      </c>
      <c r="D4314" s="235"/>
      <c r="E4314" s="261" t="s">
        <v>18</v>
      </c>
      <c r="F4314" s="88">
        <v>1000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hidden="1" x14ac:dyDescent="0.35">
      <c r="A4315" s="249" t="s">
        <v>2784</v>
      </c>
      <c r="B4315" s="261" t="s">
        <v>24</v>
      </c>
      <c r="C4315" s="76">
        <v>44756</v>
      </c>
      <c r="D4315" s="180"/>
      <c r="E4315" s="86" t="s">
        <v>25</v>
      </c>
      <c r="F4315" s="88">
        <v>360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4"/>
      <c r="O4315" s="81"/>
    </row>
    <row r="4316" spans="1:15" hidden="1" x14ac:dyDescent="0.35">
      <c r="A4316" s="249" t="s">
        <v>2784</v>
      </c>
      <c r="B4316" s="261" t="s">
        <v>24</v>
      </c>
      <c r="C4316" s="76">
        <v>44756</v>
      </c>
      <c r="D4316" s="180"/>
      <c r="E4316" s="86" t="s">
        <v>39</v>
      </c>
      <c r="F4316" s="88">
        <v>240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4"/>
      <c r="O4316" s="81"/>
    </row>
    <row r="4317" spans="1:15" hidden="1" x14ac:dyDescent="0.35">
      <c r="A4317" s="249" t="s">
        <v>2784</v>
      </c>
      <c r="B4317" s="261" t="s">
        <v>24</v>
      </c>
      <c r="C4317" s="76">
        <v>44756</v>
      </c>
      <c r="D4317" s="180"/>
      <c r="E4317" s="86" t="s">
        <v>28</v>
      </c>
      <c r="F4317" s="88">
        <v>240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4"/>
      <c r="O4317" s="81"/>
    </row>
    <row r="4318" spans="1:15" x14ac:dyDescent="0.35">
      <c r="A4318" s="249" t="s">
        <v>2784</v>
      </c>
      <c r="B4318" s="314" t="s">
        <v>24</v>
      </c>
      <c r="C4318" s="76">
        <v>44756</v>
      </c>
      <c r="D4318" s="180"/>
      <c r="E4318" s="86" t="s">
        <v>18</v>
      </c>
      <c r="F4318" s="88">
        <v>360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4"/>
      <c r="O4318" s="81"/>
    </row>
    <row r="4319" spans="1:15" hidden="1" x14ac:dyDescent="0.35">
      <c r="A4319" s="249" t="s">
        <v>2356</v>
      </c>
      <c r="B4319" s="314" t="s">
        <v>2029</v>
      </c>
      <c r="C4319" s="76">
        <v>44636</v>
      </c>
      <c r="D4319" s="180"/>
      <c r="E4319" s="86" t="s">
        <v>25</v>
      </c>
      <c r="F4319" s="88">
        <v>360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5</v>
      </c>
      <c r="L4319" s="78"/>
      <c r="M4319" s="80"/>
      <c r="N4319" s="282"/>
      <c r="O4319" s="81"/>
    </row>
    <row r="4320" spans="1:15" hidden="1" x14ac:dyDescent="0.35">
      <c r="A4320" s="249" t="s">
        <v>2356</v>
      </c>
      <c r="B4320" s="261" t="s">
        <v>2029</v>
      </c>
      <c r="C4320" s="76">
        <v>44636</v>
      </c>
      <c r="D4320" s="180"/>
      <c r="E4320" s="86" t="s">
        <v>39</v>
      </c>
      <c r="F4320" s="88">
        <v>240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282"/>
      <c r="O4320" s="81"/>
    </row>
    <row r="4321" spans="1:15" hidden="1" x14ac:dyDescent="0.35">
      <c r="A4321" s="249" t="s">
        <v>2356</v>
      </c>
      <c r="B4321" s="261" t="s">
        <v>2029</v>
      </c>
      <c r="C4321" s="76">
        <v>44636</v>
      </c>
      <c r="D4321" s="180"/>
      <c r="E4321" s="86" t="s">
        <v>28</v>
      </c>
      <c r="F4321" s="88">
        <v>240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2</v>
      </c>
      <c r="L4321" s="78"/>
      <c r="M4321" s="80"/>
      <c r="N4321" s="282"/>
      <c r="O4321" s="81"/>
    </row>
    <row r="4322" spans="1:15" hidden="1" x14ac:dyDescent="0.35">
      <c r="A4322" s="249" t="s">
        <v>2356</v>
      </c>
      <c r="B4322" s="261" t="s">
        <v>2029</v>
      </c>
      <c r="C4322" s="76">
        <v>44636</v>
      </c>
      <c r="D4322" s="180"/>
      <c r="E4322" s="86" t="s">
        <v>18</v>
      </c>
      <c r="F4322" s="88">
        <v>360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3</v>
      </c>
      <c r="L4322" s="78"/>
      <c r="M4322" s="80"/>
      <c r="N4322" s="282"/>
      <c r="O4322" s="81"/>
    </row>
    <row r="4323" spans="1:15" hidden="1" x14ac:dyDescent="0.35">
      <c r="A4323" s="249" t="s">
        <v>2585</v>
      </c>
      <c r="B4323" s="9" t="s">
        <v>241</v>
      </c>
      <c r="C4323" s="76">
        <v>44691</v>
      </c>
      <c r="D4323" s="180"/>
      <c r="E4323" s="86" t="s">
        <v>25</v>
      </c>
      <c r="F4323" s="88">
        <v>360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1</v>
      </c>
      <c r="L4323" s="78"/>
      <c r="M4323" s="80"/>
      <c r="N4323" s="282"/>
      <c r="O4323" s="81"/>
    </row>
    <row r="4324" spans="1:15" hidden="1" x14ac:dyDescent="0.35">
      <c r="A4324" s="249" t="s">
        <v>2585</v>
      </c>
      <c r="B4324" s="9" t="s">
        <v>241</v>
      </c>
      <c r="C4324" s="76">
        <v>44691</v>
      </c>
      <c r="D4324" s="180"/>
      <c r="E4324" s="161" t="s">
        <v>28</v>
      </c>
      <c r="F4324" s="88">
        <v>240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282"/>
      <c r="O4324" s="81"/>
    </row>
    <row r="4325" spans="1:15" hidden="1" x14ac:dyDescent="0.35">
      <c r="A4325" s="249" t="s">
        <v>2585</v>
      </c>
      <c r="B4325" s="9" t="s">
        <v>241</v>
      </c>
      <c r="C4325" s="76">
        <v>44691</v>
      </c>
      <c r="D4325" s="180"/>
      <c r="E4325" s="161" t="s">
        <v>39</v>
      </c>
      <c r="F4325" s="88">
        <v>240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1</v>
      </c>
      <c r="L4325" s="78"/>
      <c r="M4325" s="80"/>
      <c r="N4325" s="282"/>
      <c r="O4325" s="81"/>
    </row>
    <row r="4326" spans="1:15" hidden="1" x14ac:dyDescent="0.35">
      <c r="A4326" s="249" t="s">
        <v>2585</v>
      </c>
      <c r="B4326" s="9" t="s">
        <v>241</v>
      </c>
      <c r="C4326" s="76">
        <v>44691</v>
      </c>
      <c r="D4326" s="180"/>
      <c r="E4326" s="161" t="s">
        <v>18</v>
      </c>
      <c r="F4326" s="88">
        <v>360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5</v>
      </c>
      <c r="L4326" s="78"/>
      <c r="M4326" s="80"/>
      <c r="N4326" s="282"/>
      <c r="O4326" s="81"/>
    </row>
    <row r="4327" spans="1:15" hidden="1" x14ac:dyDescent="0.35">
      <c r="A4327" s="249" t="s">
        <v>2803</v>
      </c>
      <c r="B4327" s="157" t="s">
        <v>104</v>
      </c>
      <c r="C4327" s="76">
        <v>44762</v>
      </c>
      <c r="D4327" s="180"/>
      <c r="E4327" s="86" t="s">
        <v>28</v>
      </c>
      <c r="F4327" s="88">
        <v>240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4"/>
      <c r="O4327" s="81"/>
    </row>
    <row r="4328" spans="1:15" x14ac:dyDescent="0.35">
      <c r="A4328" s="249" t="s">
        <v>2803</v>
      </c>
      <c r="B4328" s="157" t="s">
        <v>104</v>
      </c>
      <c r="C4328" s="76">
        <v>44762</v>
      </c>
      <c r="D4328" s="180"/>
      <c r="E4328" s="86" t="s">
        <v>25</v>
      </c>
      <c r="F4328" s="88">
        <v>360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2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4"/>
      <c r="O4328" s="81"/>
    </row>
    <row r="4329" spans="1:15" hidden="1" x14ac:dyDescent="0.35">
      <c r="A4329" s="249" t="s">
        <v>2772</v>
      </c>
      <c r="B4329" s="250" t="s">
        <v>1442</v>
      </c>
      <c r="C4329" s="76">
        <v>44753</v>
      </c>
      <c r="D4329" s="180"/>
      <c r="E4329" s="161" t="s">
        <v>25</v>
      </c>
      <c r="F4329" s="88">
        <v>240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4"/>
      <c r="O4329" s="251" t="s">
        <v>1074</v>
      </c>
    </row>
    <row r="4330" spans="1:15" hidden="1" x14ac:dyDescent="0.35">
      <c r="A4330" s="249" t="s">
        <v>2803</v>
      </c>
      <c r="B4330" s="157" t="s">
        <v>104</v>
      </c>
      <c r="C4330" s="76">
        <v>44762</v>
      </c>
      <c r="D4330" s="180"/>
      <c r="E4330" s="86" t="s">
        <v>39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81"/>
    </row>
    <row r="4331" spans="1:15" hidden="1" x14ac:dyDescent="0.35">
      <c r="A4331" s="249" t="s">
        <v>2803</v>
      </c>
      <c r="B4331" s="157" t="s">
        <v>104</v>
      </c>
      <c r="C4331" s="76">
        <v>44762</v>
      </c>
      <c r="D4331" s="180"/>
      <c r="E4331" s="86" t="s">
        <v>18</v>
      </c>
      <c r="F4331" s="88">
        <v>360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4"/>
      <c r="O4331" s="81"/>
    </row>
    <row r="4332" spans="1:15" hidden="1" x14ac:dyDescent="0.35">
      <c r="A4332" s="249" t="s">
        <v>2769</v>
      </c>
      <c r="B4332" s="322" t="s">
        <v>1413</v>
      </c>
      <c r="C4332" s="76">
        <v>44649</v>
      </c>
      <c r="D4332" s="235"/>
      <c r="E4332" s="261" t="s">
        <v>18</v>
      </c>
      <c r="F4332" s="88">
        <v>360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1</v>
      </c>
      <c r="L4332" s="78"/>
      <c r="M4332" s="80"/>
      <c r="N4332" s="324"/>
      <c r="O4332" s="251" t="s">
        <v>1074</v>
      </c>
    </row>
    <row r="4333" spans="1:15" hidden="1" x14ac:dyDescent="0.35">
      <c r="A4333" s="249" t="s">
        <v>2769</v>
      </c>
      <c r="B4333" s="322" t="s">
        <v>1413</v>
      </c>
      <c r="C4333" s="76">
        <v>44649</v>
      </c>
      <c r="D4333" s="235"/>
      <c r="E4333" s="86" t="s">
        <v>25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72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2788</v>
      </c>
      <c r="B4334" s="150" t="s">
        <v>2787</v>
      </c>
      <c r="C4334" s="76">
        <v>44757</v>
      </c>
      <c r="D4334" s="264"/>
      <c r="E4334" s="157" t="s">
        <v>18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4"/>
      <c r="O4334" s="81"/>
    </row>
    <row r="4335" spans="1:15" hidden="1" x14ac:dyDescent="0.35">
      <c r="A4335" s="249" t="s">
        <v>2788</v>
      </c>
      <c r="B4335" s="150" t="s">
        <v>2787</v>
      </c>
      <c r="C4335" s="76">
        <v>44757</v>
      </c>
      <c r="D4335" s="264"/>
      <c r="E4335" s="157" t="s">
        <v>28</v>
      </c>
      <c r="F4335" s="88">
        <v>240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4"/>
      <c r="O4335" s="81"/>
    </row>
    <row r="4336" spans="1:15" hidden="1" x14ac:dyDescent="0.35">
      <c r="A4336" s="249" t="s">
        <v>2788</v>
      </c>
      <c r="B4336" s="150" t="s">
        <v>2787</v>
      </c>
      <c r="C4336" s="76">
        <v>44757</v>
      </c>
      <c r="D4336" s="267"/>
      <c r="E4336" s="190" t="s">
        <v>39</v>
      </c>
      <c r="F4336" s="72">
        <v>240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4"/>
      <c r="O4336" s="81"/>
    </row>
    <row r="4337" spans="1:15" x14ac:dyDescent="0.35">
      <c r="A4337" s="249" t="s">
        <v>2788</v>
      </c>
      <c r="B4337" s="150" t="s">
        <v>2787</v>
      </c>
      <c r="C4337" s="76">
        <v>44757</v>
      </c>
      <c r="D4337" s="264"/>
      <c r="E4337" s="157" t="s">
        <v>25</v>
      </c>
      <c r="F4337" s="88">
        <v>360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4"/>
      <c r="O4337" s="81"/>
    </row>
    <row r="4338" spans="1:15" hidden="1" x14ac:dyDescent="0.35">
      <c r="A4338" s="249" t="s">
        <v>2669</v>
      </c>
      <c r="B4338" s="9" t="s">
        <v>2557</v>
      </c>
      <c r="C4338" s="76">
        <v>44712</v>
      </c>
      <c r="D4338" s="264"/>
      <c r="E4338" s="86" t="s">
        <v>39</v>
      </c>
      <c r="F4338" s="88">
        <v>240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3</v>
      </c>
      <c r="L4338" s="78"/>
      <c r="M4338" s="80"/>
      <c r="N4338" s="324"/>
      <c r="O4338" s="81"/>
    </row>
    <row r="4339" spans="1:15" hidden="1" x14ac:dyDescent="0.35">
      <c r="A4339" s="249" t="s">
        <v>2669</v>
      </c>
      <c r="B4339" s="9" t="s">
        <v>2557</v>
      </c>
      <c r="C4339" s="76">
        <v>44712</v>
      </c>
      <c r="D4339" s="264"/>
      <c r="E4339" s="86" t="s">
        <v>28</v>
      </c>
      <c r="F4339" s="88">
        <v>240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hidden="1" x14ac:dyDescent="0.35">
      <c r="A4340" s="249" t="s">
        <v>2669</v>
      </c>
      <c r="B4340" s="9" t="s">
        <v>2557</v>
      </c>
      <c r="C4340" s="76">
        <v>44712</v>
      </c>
      <c r="D4340" s="264"/>
      <c r="E4340" s="86" t="s">
        <v>18</v>
      </c>
      <c r="F4340" s="88">
        <v>360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hidden="1" x14ac:dyDescent="0.35">
      <c r="A4341" s="249" t="s">
        <v>2669</v>
      </c>
      <c r="B4341" s="9" t="s">
        <v>2557</v>
      </c>
      <c r="C4341" s="76">
        <v>44712</v>
      </c>
      <c r="D4341" s="264"/>
      <c r="E4341" s="261" t="s">
        <v>25</v>
      </c>
      <c r="F4341" s="88">
        <v>360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4</v>
      </c>
      <c r="L4341" s="78"/>
      <c r="M4341" s="80"/>
      <c r="N4341" s="324"/>
      <c r="O4341" s="81"/>
    </row>
    <row r="4342" spans="1:15" hidden="1" x14ac:dyDescent="0.35">
      <c r="A4342" s="249" t="s">
        <v>2586</v>
      </c>
      <c r="B4342" s="322" t="s">
        <v>2539</v>
      </c>
      <c r="C4342" s="76">
        <v>44677</v>
      </c>
      <c r="D4342" s="264"/>
      <c r="E4342" s="250" t="s">
        <v>79</v>
      </c>
      <c r="F4342" s="77">
        <v>360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282"/>
      <c r="O4342" s="81"/>
    </row>
    <row r="4343" spans="1:15" hidden="1" x14ac:dyDescent="0.35">
      <c r="A4343" s="249" t="s">
        <v>2586</v>
      </c>
      <c r="B4343" s="322" t="s">
        <v>2539</v>
      </c>
      <c r="C4343" s="76">
        <v>44677</v>
      </c>
      <c r="D4343" s="264"/>
      <c r="E4343" s="161" t="s">
        <v>18</v>
      </c>
      <c r="F4343" s="77">
        <v>360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282"/>
      <c r="O4343" s="81"/>
    </row>
    <row r="4344" spans="1:15" hidden="1" x14ac:dyDescent="0.35">
      <c r="A4344" s="249" t="s">
        <v>2765</v>
      </c>
      <c r="B4344" s="322" t="s">
        <v>1476</v>
      </c>
      <c r="C4344" s="76">
        <v>44751</v>
      </c>
      <c r="D4344" s="264"/>
      <c r="E4344" s="250" t="s">
        <v>39</v>
      </c>
      <c r="F4344" s="77">
        <v>600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hidden="1" x14ac:dyDescent="0.35">
      <c r="A4345" s="249" t="s">
        <v>2765</v>
      </c>
      <c r="B4345" s="322" t="s">
        <v>1476</v>
      </c>
      <c r="C4345" s="76">
        <v>44751</v>
      </c>
      <c r="D4345" s="264"/>
      <c r="E4345" s="250" t="s">
        <v>18</v>
      </c>
      <c r="F4345" s="77">
        <v>600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hidden="1" x14ac:dyDescent="0.35">
      <c r="A4346" s="249" t="s">
        <v>2765</v>
      </c>
      <c r="B4346" s="151" t="s">
        <v>1476</v>
      </c>
      <c r="C4346" s="76">
        <v>44751</v>
      </c>
      <c r="D4346" s="264"/>
      <c r="E4346" s="250" t="s">
        <v>28</v>
      </c>
      <c r="F4346" s="77">
        <v>600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4"/>
      <c r="O4346" s="81"/>
    </row>
    <row r="4347" spans="1:15" hidden="1" x14ac:dyDescent="0.35">
      <c r="A4347" s="249" t="s">
        <v>2461</v>
      </c>
      <c r="B4347" s="9" t="s">
        <v>2460</v>
      </c>
      <c r="C4347" s="76">
        <v>44665</v>
      </c>
      <c r="D4347" s="264"/>
      <c r="E4347" s="86" t="s">
        <v>18</v>
      </c>
      <c r="F4347" s="77">
        <v>600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282"/>
      <c r="O4347" s="81"/>
    </row>
    <row r="4348" spans="1:15" hidden="1" x14ac:dyDescent="0.35">
      <c r="A4348" s="249" t="s">
        <v>2684</v>
      </c>
      <c r="B4348" s="157" t="s">
        <v>1208</v>
      </c>
      <c r="C4348" s="76">
        <v>44718</v>
      </c>
      <c r="D4348" s="235"/>
      <c r="E4348" s="157" t="s">
        <v>39</v>
      </c>
      <c r="F4348" s="77">
        <v>1100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7</v>
      </c>
      <c r="L4348" s="78"/>
      <c r="M4348" s="80"/>
      <c r="N4348" s="324"/>
      <c r="O4348" s="81"/>
    </row>
    <row r="4349" spans="1:15" hidden="1" x14ac:dyDescent="0.35">
      <c r="A4349" s="249" t="s">
        <v>2586</v>
      </c>
      <c r="B4349" s="9" t="s">
        <v>2538</v>
      </c>
      <c r="C4349" s="76">
        <v>44677</v>
      </c>
      <c r="D4349" s="264"/>
      <c r="E4349" s="250" t="s">
        <v>79</v>
      </c>
      <c r="F4349" s="77">
        <v>360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282"/>
      <c r="O4349" s="81"/>
    </row>
    <row r="4350" spans="1:15" hidden="1" x14ac:dyDescent="0.35">
      <c r="A4350" s="249" t="s">
        <v>2775</v>
      </c>
      <c r="B4350" s="161" t="s">
        <v>1687</v>
      </c>
      <c r="C4350" s="76">
        <v>44529</v>
      </c>
      <c r="D4350" s="180"/>
      <c r="E4350" s="86" t="s">
        <v>18</v>
      </c>
      <c r="F4350" s="88">
        <v>360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4"/>
      <c r="O4350" s="251" t="s">
        <v>1074</v>
      </c>
    </row>
    <row r="4351" spans="1:15" hidden="1" x14ac:dyDescent="0.35">
      <c r="A4351" s="249" t="s">
        <v>2586</v>
      </c>
      <c r="B4351" s="150" t="s">
        <v>2538</v>
      </c>
      <c r="C4351" s="76">
        <v>44677</v>
      </c>
      <c r="D4351" s="264"/>
      <c r="E4351" s="161" t="s">
        <v>18</v>
      </c>
      <c r="F4351" s="77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282"/>
      <c r="O4351" s="81"/>
    </row>
    <row r="4352" spans="1:15" hidden="1" x14ac:dyDescent="0.35">
      <c r="A4352" s="249" t="s">
        <v>2428</v>
      </c>
      <c r="B4352" s="9" t="s">
        <v>2426</v>
      </c>
      <c r="C4352" s="76">
        <v>44653</v>
      </c>
      <c r="D4352" s="264"/>
      <c r="E4352" s="250" t="s">
        <v>18</v>
      </c>
      <c r="F4352" s="77">
        <v>480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282"/>
      <c r="O4352" s="81"/>
    </row>
    <row r="4353" spans="1:15" hidden="1" x14ac:dyDescent="0.35">
      <c r="A4353" s="249" t="s">
        <v>2289</v>
      </c>
      <c r="B4353" s="9" t="s">
        <v>2246</v>
      </c>
      <c r="C4353" s="76">
        <v>44623</v>
      </c>
      <c r="D4353" s="264"/>
      <c r="E4353" s="250" t="s">
        <v>39</v>
      </c>
      <c r="F4353" s="77">
        <v>240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265"/>
      <c r="O4353" s="81"/>
    </row>
    <row r="4354" spans="1:15" hidden="1" x14ac:dyDescent="0.35">
      <c r="A4354" s="249" t="s">
        <v>2777</v>
      </c>
      <c r="B4354" s="151" t="s">
        <v>2222</v>
      </c>
      <c r="C4354" s="76">
        <v>44754</v>
      </c>
      <c r="D4354" s="180"/>
      <c r="E4354" s="86" t="s">
        <v>39</v>
      </c>
      <c r="F4354" s="88">
        <v>240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4"/>
      <c r="O4354" s="251" t="s">
        <v>1074</v>
      </c>
    </row>
    <row r="4355" spans="1:15" hidden="1" x14ac:dyDescent="0.35">
      <c r="A4355" s="249" t="s">
        <v>2777</v>
      </c>
      <c r="B4355" s="151" t="s">
        <v>2222</v>
      </c>
      <c r="C4355" s="76">
        <v>44754</v>
      </c>
      <c r="D4355" s="180"/>
      <c r="E4355" s="86" t="s">
        <v>18</v>
      </c>
      <c r="F4355" s="88">
        <v>360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251" t="s">
        <v>1074</v>
      </c>
    </row>
    <row r="4356" spans="1:15" hidden="1" x14ac:dyDescent="0.35">
      <c r="A4356" s="249" t="s">
        <v>2777</v>
      </c>
      <c r="B4356" s="322" t="s">
        <v>2222</v>
      </c>
      <c r="C4356" s="76">
        <v>44754</v>
      </c>
      <c r="D4356" s="180"/>
      <c r="E4356" s="161" t="s">
        <v>25</v>
      </c>
      <c r="F4356" s="88">
        <v>360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251" t="s">
        <v>1074</v>
      </c>
    </row>
    <row r="4357" spans="1:15" hidden="1" x14ac:dyDescent="0.35">
      <c r="A4357" s="249" t="s">
        <v>2777</v>
      </c>
      <c r="B4357" s="322" t="s">
        <v>2222</v>
      </c>
      <c r="C4357" s="76">
        <v>44754</v>
      </c>
      <c r="D4357" s="180"/>
      <c r="E4357" s="86" t="s">
        <v>28</v>
      </c>
      <c r="F4357" s="88">
        <v>240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251" t="s">
        <v>1074</v>
      </c>
    </row>
    <row r="4358" spans="1:15" hidden="1" x14ac:dyDescent="0.35">
      <c r="A4358" s="249" t="s">
        <v>2777</v>
      </c>
      <c r="B4358" s="322" t="s">
        <v>2222</v>
      </c>
      <c r="C4358" s="76">
        <v>44754</v>
      </c>
      <c r="D4358" s="180"/>
      <c r="E4358" s="261" t="s">
        <v>79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251" t="s">
        <v>1074</v>
      </c>
    </row>
    <row r="4359" spans="1:15" hidden="1" x14ac:dyDescent="0.35">
      <c r="A4359" s="249" t="s">
        <v>2289</v>
      </c>
      <c r="B4359" s="150" t="s">
        <v>2246</v>
      </c>
      <c r="C4359" s="76">
        <v>44623</v>
      </c>
      <c r="D4359" s="264"/>
      <c r="E4359" s="250" t="s">
        <v>25</v>
      </c>
      <c r="F4359" s="77">
        <v>360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265"/>
      <c r="O4359" s="81"/>
    </row>
    <row r="4360" spans="1:15" hidden="1" x14ac:dyDescent="0.35">
      <c r="A4360" s="249" t="s">
        <v>2289</v>
      </c>
      <c r="B4360" s="9" t="s">
        <v>2246</v>
      </c>
      <c r="C4360" s="76">
        <v>44623</v>
      </c>
      <c r="D4360" s="264"/>
      <c r="E4360" s="250" t="s">
        <v>18</v>
      </c>
      <c r="F4360" s="77">
        <v>360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265"/>
      <c r="O4360" s="81"/>
    </row>
    <row r="4361" spans="1:15" hidden="1" x14ac:dyDescent="0.35">
      <c r="A4361" s="249" t="s">
        <v>2289</v>
      </c>
      <c r="B4361" s="9" t="s">
        <v>2246</v>
      </c>
      <c r="C4361" s="76">
        <v>44623</v>
      </c>
      <c r="D4361" s="264"/>
      <c r="E4361" s="250" t="s">
        <v>28</v>
      </c>
      <c r="F4361" s="77">
        <v>240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265"/>
      <c r="O4361" s="81"/>
    </row>
    <row r="4362" spans="1:15" hidden="1" x14ac:dyDescent="0.35">
      <c r="A4362" s="249" t="s">
        <v>2428</v>
      </c>
      <c r="B4362" s="250" t="s">
        <v>2425</v>
      </c>
      <c r="C4362" s="76">
        <v>44653</v>
      </c>
      <c r="D4362" s="264"/>
      <c r="E4362" s="250" t="s">
        <v>18</v>
      </c>
      <c r="F4362" s="184">
        <v>480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282"/>
      <c r="O4362" s="81"/>
    </row>
    <row r="4363" spans="1:15" hidden="1" x14ac:dyDescent="0.35">
      <c r="A4363" s="249" t="s">
        <v>2289</v>
      </c>
      <c r="B4363" s="9" t="s">
        <v>1291</v>
      </c>
      <c r="C4363" s="76">
        <v>44623</v>
      </c>
      <c r="D4363" s="264"/>
      <c r="E4363" s="250" t="s">
        <v>39</v>
      </c>
      <c r="F4363" s="77">
        <v>240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282"/>
      <c r="O4363" s="81"/>
    </row>
    <row r="4364" spans="1:15" hidden="1" x14ac:dyDescent="0.35">
      <c r="A4364" s="249" t="s">
        <v>2289</v>
      </c>
      <c r="B4364" s="150" t="s">
        <v>1291</v>
      </c>
      <c r="C4364" s="76">
        <v>44623</v>
      </c>
      <c r="D4364" s="264"/>
      <c r="E4364" s="250" t="s">
        <v>25</v>
      </c>
      <c r="F4364" s="77">
        <v>360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282"/>
      <c r="O4364" s="81"/>
    </row>
    <row r="4365" spans="1:15" hidden="1" x14ac:dyDescent="0.35">
      <c r="A4365" s="249" t="s">
        <v>2289</v>
      </c>
      <c r="B4365" s="150" t="s">
        <v>1291</v>
      </c>
      <c r="C4365" s="76">
        <v>44623</v>
      </c>
      <c r="D4365" s="264"/>
      <c r="E4365" s="250" t="s">
        <v>18</v>
      </c>
      <c r="F4365" s="77">
        <v>360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282"/>
      <c r="O4365" s="81"/>
    </row>
    <row r="4366" spans="1:15" hidden="1" x14ac:dyDescent="0.35">
      <c r="A4366" s="249" t="s">
        <v>2289</v>
      </c>
      <c r="B4366" s="150" t="s">
        <v>1291</v>
      </c>
      <c r="C4366" s="76">
        <v>44623</v>
      </c>
      <c r="D4366" s="264"/>
      <c r="E4366" s="250" t="s">
        <v>28</v>
      </c>
      <c r="F4366" s="77">
        <v>240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282"/>
      <c r="O4366" s="81"/>
    </row>
    <row r="4367" spans="1:15" hidden="1" x14ac:dyDescent="0.35">
      <c r="A4367" s="249" t="s">
        <v>2498</v>
      </c>
      <c r="B4367" s="150" t="s">
        <v>2496</v>
      </c>
      <c r="C4367" s="76">
        <v>44670</v>
      </c>
      <c r="D4367" s="264"/>
      <c r="E4367" s="250" t="s">
        <v>18</v>
      </c>
      <c r="F4367" s="77">
        <v>600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282"/>
      <c r="O4367" s="81"/>
    </row>
    <row r="4368" spans="1:15" hidden="1" x14ac:dyDescent="0.35">
      <c r="A4368" s="249" t="s">
        <v>2737</v>
      </c>
      <c r="B4368" s="9" t="s">
        <v>2736</v>
      </c>
      <c r="C4368" s="76">
        <v>44740</v>
      </c>
      <c r="D4368" s="264"/>
      <c r="E4368" s="250" t="s">
        <v>39</v>
      </c>
      <c r="F4368" s="77">
        <v>50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4"/>
      <c r="O4368" s="81"/>
    </row>
    <row r="4369" spans="1:15" hidden="1" x14ac:dyDescent="0.35">
      <c r="A4369" s="249" t="s">
        <v>2751</v>
      </c>
      <c r="B4369" s="9" t="s">
        <v>2750</v>
      </c>
      <c r="C4369" s="76">
        <v>44749</v>
      </c>
      <c r="D4369" s="264"/>
      <c r="E4369" s="250" t="s">
        <v>28</v>
      </c>
      <c r="F4369" s="77">
        <v>100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hidden="1" x14ac:dyDescent="0.35">
      <c r="A4370" s="249" t="s">
        <v>2723</v>
      </c>
      <c r="B4370" s="151" t="s">
        <v>2722</v>
      </c>
      <c r="C4370" s="76">
        <v>44736</v>
      </c>
      <c r="D4370" s="264"/>
      <c r="E4370" s="250" t="s">
        <v>79</v>
      </c>
      <c r="F4370" s="77">
        <v>100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hidden="1" x14ac:dyDescent="0.35">
      <c r="A4371" s="249" t="s">
        <v>2723</v>
      </c>
      <c r="B4371" s="151" t="s">
        <v>2722</v>
      </c>
      <c r="C4371" s="76">
        <v>44736</v>
      </c>
      <c r="D4371" s="264"/>
      <c r="E4371" s="250" t="s">
        <v>39</v>
      </c>
      <c r="F4371" s="77">
        <v>100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hidden="1" x14ac:dyDescent="0.35">
      <c r="A4372" s="249" t="s">
        <v>2752</v>
      </c>
      <c r="B4372" s="151" t="s">
        <v>1071</v>
      </c>
      <c r="C4372" s="76">
        <v>44749</v>
      </c>
      <c r="D4372" s="180"/>
      <c r="E4372" s="241" t="s">
        <v>18</v>
      </c>
      <c r="F4372" s="77">
        <v>600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x14ac:dyDescent="0.35">
      <c r="A4373" s="249" t="s">
        <v>2727</v>
      </c>
      <c r="B4373" s="151" t="s">
        <v>1071</v>
      </c>
      <c r="C4373" s="76">
        <v>44736</v>
      </c>
      <c r="D4373" s="180"/>
      <c r="E4373" s="261" t="s">
        <v>28</v>
      </c>
      <c r="F4373" s="77">
        <v>600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43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4"/>
      <c r="O4373" s="81"/>
    </row>
    <row r="4374" spans="1:15" hidden="1" x14ac:dyDescent="0.35">
      <c r="A4374" s="249" t="s">
        <v>2714</v>
      </c>
      <c r="B4374" s="151" t="s">
        <v>1071</v>
      </c>
      <c r="C4374" s="76">
        <v>44731</v>
      </c>
      <c r="D4374" s="180"/>
      <c r="E4374" s="261" t="s">
        <v>39</v>
      </c>
      <c r="F4374" s="77">
        <v>600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4"/>
      <c r="O4374" s="81"/>
    </row>
    <row r="4375" spans="1:15" x14ac:dyDescent="0.35">
      <c r="A4375" s="249" t="s">
        <v>2753</v>
      </c>
      <c r="B4375" s="151" t="s">
        <v>1070</v>
      </c>
      <c r="C4375" s="76">
        <v>44749</v>
      </c>
      <c r="D4375" s="180"/>
      <c r="E4375" s="261" t="s">
        <v>18</v>
      </c>
      <c r="F4375" s="77">
        <v>600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43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4"/>
      <c r="O4375" s="81"/>
    </row>
    <row r="4376" spans="1:15" x14ac:dyDescent="0.35">
      <c r="A4376" s="249" t="s">
        <v>2728</v>
      </c>
      <c r="B4376" s="151" t="s">
        <v>1070</v>
      </c>
      <c r="C4376" s="76">
        <v>44736</v>
      </c>
      <c r="D4376" s="235"/>
      <c r="E4376" s="157" t="s">
        <v>28</v>
      </c>
      <c r="F4376" s="77">
        <v>600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3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4"/>
      <c r="O4376" s="81"/>
    </row>
    <row r="4377" spans="1:15" x14ac:dyDescent="0.35">
      <c r="A4377" s="249" t="s">
        <v>2713</v>
      </c>
      <c r="B4377" s="151" t="s">
        <v>1070</v>
      </c>
      <c r="C4377" s="76">
        <v>44731</v>
      </c>
      <c r="D4377" s="180"/>
      <c r="E4377" s="261" t="s">
        <v>39</v>
      </c>
      <c r="F4377" s="77">
        <v>600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3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4"/>
      <c r="O4377" s="81"/>
    </row>
    <row r="4378" spans="1:15" hidden="1" x14ac:dyDescent="0.35">
      <c r="A4378" s="249" t="s">
        <v>2424</v>
      </c>
      <c r="B4378" s="161" t="s">
        <v>1070</v>
      </c>
      <c r="C4378" s="76">
        <v>44655</v>
      </c>
      <c r="D4378" s="180"/>
      <c r="E4378" s="261" t="s">
        <v>79</v>
      </c>
      <c r="F4378" s="77">
        <v>600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15</v>
      </c>
      <c r="L4378" s="78"/>
      <c r="M4378" s="80"/>
      <c r="N4378" s="282"/>
      <c r="O4378" s="81"/>
    </row>
    <row r="4379" spans="1:15" hidden="1" x14ac:dyDescent="0.35">
      <c r="A4379" s="249" t="s">
        <v>2236</v>
      </c>
      <c r="B4379" s="250" t="s">
        <v>2239</v>
      </c>
      <c r="C4379" s="76">
        <v>44603</v>
      </c>
      <c r="D4379" s="264"/>
      <c r="E4379" s="250" t="s">
        <v>28</v>
      </c>
      <c r="F4379" s="77">
        <v>600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265"/>
      <c r="O4379" s="81"/>
    </row>
    <row r="4380" spans="1:15" hidden="1" x14ac:dyDescent="0.35">
      <c r="A4380" s="249" t="s">
        <v>2236</v>
      </c>
      <c r="B4380" s="250" t="s">
        <v>2239</v>
      </c>
      <c r="C4380" s="76">
        <v>44603</v>
      </c>
      <c r="D4380" s="264"/>
      <c r="E4380" s="250" t="s">
        <v>25</v>
      </c>
      <c r="F4380" s="77">
        <v>120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265"/>
      <c r="O4380" s="81"/>
    </row>
    <row r="4381" spans="1:15" hidden="1" x14ac:dyDescent="0.35">
      <c r="A4381" s="249" t="s">
        <v>2236</v>
      </c>
      <c r="B4381" s="250" t="s">
        <v>2239</v>
      </c>
      <c r="C4381" s="76">
        <v>44603</v>
      </c>
      <c r="D4381" s="264"/>
      <c r="E4381" s="250" t="s">
        <v>18</v>
      </c>
      <c r="F4381" s="77">
        <v>360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265"/>
      <c r="O4381" s="81"/>
    </row>
    <row r="4382" spans="1:15" hidden="1" x14ac:dyDescent="0.35">
      <c r="A4382" s="249" t="s">
        <v>2237</v>
      </c>
      <c r="B4382" s="313" t="s">
        <v>2238</v>
      </c>
      <c r="C4382" s="76">
        <v>44603</v>
      </c>
      <c r="D4382" s="264"/>
      <c r="E4382" s="250" t="s">
        <v>28</v>
      </c>
      <c r="F4382" s="77">
        <v>360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265"/>
      <c r="O4382" s="81"/>
    </row>
    <row r="4383" spans="1:15" x14ac:dyDescent="0.35">
      <c r="A4383" s="249" t="s">
        <v>2796</v>
      </c>
      <c r="B4383" s="151" t="s">
        <v>2222</v>
      </c>
      <c r="C4383" s="89">
        <v>44760</v>
      </c>
      <c r="D4383" s="180"/>
      <c r="E4383" s="86" t="s">
        <v>39</v>
      </c>
      <c r="F4383" s="88">
        <v>240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4"/>
      <c r="O4383" s="81"/>
    </row>
    <row r="4384" spans="1:15" x14ac:dyDescent="0.35">
      <c r="A4384" s="249" t="s">
        <v>2796</v>
      </c>
      <c r="B4384" s="151" t="s">
        <v>2222</v>
      </c>
      <c r="C4384" s="89">
        <v>44760</v>
      </c>
      <c r="D4384" s="180"/>
      <c r="E4384" s="86" t="s">
        <v>18</v>
      </c>
      <c r="F4384" s="88">
        <v>360</v>
      </c>
      <c r="G4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x14ac:dyDescent="0.35">
      <c r="A4385" s="249" t="s">
        <v>2796</v>
      </c>
      <c r="B4385" s="151" t="s">
        <v>2222</v>
      </c>
      <c r="C4385" s="89">
        <v>44760</v>
      </c>
      <c r="D4385" s="180"/>
      <c r="E4385" s="161" t="s">
        <v>25</v>
      </c>
      <c r="F4385" s="88">
        <v>360</v>
      </c>
      <c r="G4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4"/>
      <c r="O4385" s="81"/>
    </row>
    <row r="4386" spans="1:15" x14ac:dyDescent="0.35">
      <c r="A4386" s="249" t="s">
        <v>2796</v>
      </c>
      <c r="B4386" s="322" t="s">
        <v>2222</v>
      </c>
      <c r="C4386" s="89">
        <v>44760</v>
      </c>
      <c r="D4386" s="180"/>
      <c r="E4386" s="86" t="s">
        <v>28</v>
      </c>
      <c r="F4386" s="88">
        <v>240</v>
      </c>
      <c r="G4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8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4"/>
      <c r="O4386" s="81"/>
    </row>
    <row r="4387" spans="1:15" x14ac:dyDescent="0.35">
      <c r="A4387" s="249" t="s">
        <v>2796</v>
      </c>
      <c r="B4387" s="322" t="s">
        <v>2222</v>
      </c>
      <c r="C4387" s="89">
        <v>44760</v>
      </c>
      <c r="D4387" s="180"/>
      <c r="E4387" s="261" t="s">
        <v>79</v>
      </c>
      <c r="F4387" s="88">
        <v>240</v>
      </c>
      <c r="G4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hidden="1" x14ac:dyDescent="0.35">
      <c r="A4388" s="249" t="s">
        <v>2647</v>
      </c>
      <c r="B4388" s="250" t="s">
        <v>2649</v>
      </c>
      <c r="C4388" s="76">
        <v>44705</v>
      </c>
      <c r="D4388" s="264"/>
      <c r="E4388" s="250" t="s">
        <v>28</v>
      </c>
      <c r="F4388" s="77">
        <v>1000</v>
      </c>
      <c r="G4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282"/>
      <c r="O4388" s="81"/>
    </row>
    <row r="4389" spans="1:15" hidden="1" x14ac:dyDescent="0.35">
      <c r="A4389" s="249" t="s">
        <v>2647</v>
      </c>
      <c r="B4389" s="250" t="s">
        <v>2646</v>
      </c>
      <c r="C4389" s="76">
        <v>44705</v>
      </c>
      <c r="D4389" s="264"/>
      <c r="E4389" s="250" t="s">
        <v>28</v>
      </c>
      <c r="F4389" s="77">
        <v>500</v>
      </c>
      <c r="G4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26</v>
      </c>
      <c r="L4389" s="78"/>
      <c r="M4389" s="80"/>
      <c r="N4389" s="282"/>
      <c r="O4389" s="81"/>
    </row>
    <row r="4390" spans="1:15" hidden="1" x14ac:dyDescent="0.35">
      <c r="A4390" s="249" t="s">
        <v>2795</v>
      </c>
      <c r="B4390" s="250" t="s">
        <v>2133</v>
      </c>
      <c r="C4390" s="89">
        <v>44760</v>
      </c>
      <c r="D4390" s="235"/>
      <c r="E4390" s="250" t="s">
        <v>203</v>
      </c>
      <c r="F4390" s="88">
        <v>240</v>
      </c>
      <c r="G4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hidden="1" x14ac:dyDescent="0.35">
      <c r="A4391" s="249" t="s">
        <v>2795</v>
      </c>
      <c r="B4391" s="250" t="s">
        <v>2133</v>
      </c>
      <c r="C4391" s="89">
        <v>44760</v>
      </c>
      <c r="D4391" s="235"/>
      <c r="E4391" s="250" t="s">
        <v>206</v>
      </c>
      <c r="F4391" s="88">
        <v>240</v>
      </c>
      <c r="G4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hidden="1" x14ac:dyDescent="0.35">
      <c r="A4392" s="249" t="s">
        <v>2795</v>
      </c>
      <c r="B4392" s="250" t="s">
        <v>2133</v>
      </c>
      <c r="C4392" s="89">
        <v>44760</v>
      </c>
      <c r="D4392" s="235"/>
      <c r="E4392" s="250" t="s">
        <v>1569</v>
      </c>
      <c r="F4392" s="88">
        <v>240</v>
      </c>
      <c r="G4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x14ac:dyDescent="0.35">
      <c r="A4393" s="249" t="s">
        <v>2795</v>
      </c>
      <c r="B4393" s="250" t="s">
        <v>2133</v>
      </c>
      <c r="C4393" s="89">
        <v>44760</v>
      </c>
      <c r="D4393" s="235"/>
      <c r="E4393" s="250" t="s">
        <v>132</v>
      </c>
      <c r="F4393" s="88">
        <v>240</v>
      </c>
      <c r="G4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39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x14ac:dyDescent="0.35">
      <c r="A4394" s="249" t="s">
        <v>2794</v>
      </c>
      <c r="B4394" s="150" t="s">
        <v>1230</v>
      </c>
      <c r="C4394" s="89">
        <v>44759</v>
      </c>
      <c r="D4394" s="180"/>
      <c r="E4394" s="161" t="s">
        <v>39</v>
      </c>
      <c r="F4394" s="88">
        <f>1200/3</f>
        <v>400</v>
      </c>
      <c r="G4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hidden="1" x14ac:dyDescent="0.35">
      <c r="A4395" s="249" t="s">
        <v>2794</v>
      </c>
      <c r="B4395" s="150" t="s">
        <v>1230</v>
      </c>
      <c r="C4395" s="89">
        <v>44759</v>
      </c>
      <c r="D4395" s="180"/>
      <c r="E4395" s="161" t="s">
        <v>18</v>
      </c>
      <c r="F4395" s="88">
        <f>1200/3</f>
        <v>400</v>
      </c>
      <c r="G4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hidden="1" x14ac:dyDescent="0.35">
      <c r="A4396" s="249" t="s">
        <v>2794</v>
      </c>
      <c r="B4396" s="150" t="s">
        <v>1230</v>
      </c>
      <c r="C4396" s="89">
        <v>44759</v>
      </c>
      <c r="D4396" s="180"/>
      <c r="E4396" s="161" t="s">
        <v>28</v>
      </c>
      <c r="F4396" s="88">
        <f>1200/3</f>
        <v>400</v>
      </c>
      <c r="G4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hidden="1" x14ac:dyDescent="0.35">
      <c r="A4397" s="249" t="s">
        <v>2450</v>
      </c>
      <c r="B4397" s="150" t="s">
        <v>2226</v>
      </c>
      <c r="C4397" s="89">
        <v>44662</v>
      </c>
      <c r="D4397" s="180"/>
      <c r="E4397" s="161" t="s">
        <v>79</v>
      </c>
      <c r="F4397" s="88">
        <v>300</v>
      </c>
      <c r="G4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282"/>
      <c r="O4397" s="81"/>
    </row>
    <row r="4398" spans="1:15" hidden="1" x14ac:dyDescent="0.35">
      <c r="A4398" s="249" t="s">
        <v>2450</v>
      </c>
      <c r="B4398" s="9" t="s">
        <v>2226</v>
      </c>
      <c r="C4398" s="89">
        <v>44662</v>
      </c>
      <c r="D4398" s="180"/>
      <c r="E4398" s="161" t="s">
        <v>39</v>
      </c>
      <c r="F4398" s="88">
        <v>300</v>
      </c>
      <c r="G4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12</v>
      </c>
      <c r="L4398" s="78"/>
      <c r="M4398" s="80"/>
      <c r="N4398" s="282"/>
      <c r="O4398" s="81"/>
    </row>
    <row r="4399" spans="1:15" hidden="1" x14ac:dyDescent="0.35">
      <c r="A4399" s="249" t="s">
        <v>2450</v>
      </c>
      <c r="B4399" s="9" t="s">
        <v>2226</v>
      </c>
      <c r="C4399" s="89">
        <v>44662</v>
      </c>
      <c r="D4399" s="180"/>
      <c r="E4399" s="161" t="s">
        <v>18</v>
      </c>
      <c r="F4399" s="88">
        <v>300</v>
      </c>
      <c r="G4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282"/>
      <c r="O4399" s="81"/>
    </row>
    <row r="4400" spans="1:15" hidden="1" x14ac:dyDescent="0.35">
      <c r="A4400" s="249" t="s">
        <v>2450</v>
      </c>
      <c r="B4400" s="9" t="s">
        <v>2226</v>
      </c>
      <c r="C4400" s="89">
        <v>44662</v>
      </c>
      <c r="D4400" s="180"/>
      <c r="E4400" s="161" t="s">
        <v>28</v>
      </c>
      <c r="F4400" s="88">
        <v>300</v>
      </c>
      <c r="G4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15</v>
      </c>
      <c r="L4400" s="78"/>
      <c r="M4400" s="80"/>
      <c r="N4400" s="282"/>
      <c r="O4400" s="81"/>
    </row>
    <row r="4401" spans="1:15" hidden="1" x14ac:dyDescent="0.35">
      <c r="A4401" s="249" t="s">
        <v>2694</v>
      </c>
      <c r="B4401" s="9" t="s">
        <v>2687</v>
      </c>
      <c r="C4401" s="76">
        <v>44721</v>
      </c>
      <c r="D4401" s="264"/>
      <c r="E4401" s="250" t="s">
        <v>18</v>
      </c>
      <c r="F4401" s="77">
        <f>40*12</f>
        <v>480</v>
      </c>
      <c r="G4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4"/>
      <c r="O4401" s="81"/>
    </row>
    <row r="4402" spans="1:15" hidden="1" x14ac:dyDescent="0.35">
      <c r="A4402" s="249" t="s">
        <v>2694</v>
      </c>
      <c r="B4402" s="9" t="s">
        <v>2687</v>
      </c>
      <c r="C4402" s="76">
        <v>44721</v>
      </c>
      <c r="D4402" s="264"/>
      <c r="E4402" s="250" t="s">
        <v>28</v>
      </c>
      <c r="F4402" s="77">
        <f>80*12</f>
        <v>960</v>
      </c>
      <c r="G4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hidden="1" x14ac:dyDescent="0.35">
      <c r="A4403" s="249" t="s">
        <v>2694</v>
      </c>
      <c r="B4403" s="9" t="s">
        <v>2695</v>
      </c>
      <c r="C4403" s="76">
        <v>44721</v>
      </c>
      <c r="D4403" s="264"/>
      <c r="E4403" s="250" t="s">
        <v>18</v>
      </c>
      <c r="F4403" s="77">
        <f>40*12</f>
        <v>480</v>
      </c>
      <c r="G4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hidden="1" x14ac:dyDescent="0.35">
      <c r="A4404" s="249" t="s">
        <v>2694</v>
      </c>
      <c r="B4404" s="9" t="s">
        <v>2695</v>
      </c>
      <c r="C4404" s="76">
        <v>44721</v>
      </c>
      <c r="D4404" s="264"/>
      <c r="E4404" s="250" t="s">
        <v>28</v>
      </c>
      <c r="F4404" s="77">
        <f>80*12</f>
        <v>960</v>
      </c>
      <c r="G4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hidden="1" x14ac:dyDescent="0.35">
      <c r="A4405" s="249" t="s">
        <v>2450</v>
      </c>
      <c r="B4405" s="9" t="s">
        <v>1966</v>
      </c>
      <c r="C4405" s="89">
        <v>44662</v>
      </c>
      <c r="D4405" s="180"/>
      <c r="E4405" s="261" t="s">
        <v>18</v>
      </c>
      <c r="F4405" s="88">
        <v>600</v>
      </c>
      <c r="G4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6</v>
      </c>
      <c r="L4405" s="78"/>
      <c r="M4405" s="80"/>
      <c r="N4405" s="282"/>
      <c r="O4405" s="81"/>
    </row>
    <row r="4406" spans="1:15" hidden="1" x14ac:dyDescent="0.35">
      <c r="A4406" s="249" t="s">
        <v>2450</v>
      </c>
      <c r="B4406" s="9" t="s">
        <v>2449</v>
      </c>
      <c r="C4406" s="89">
        <v>44662</v>
      </c>
      <c r="D4406" s="180"/>
      <c r="E4406" s="261" t="s">
        <v>28</v>
      </c>
      <c r="F4406" s="88">
        <v>600</v>
      </c>
      <c r="G4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23</v>
      </c>
      <c r="L4406" s="78"/>
      <c r="M4406" s="80"/>
      <c r="N4406" s="282"/>
      <c r="O4406" s="81"/>
    </row>
    <row r="4407" spans="1:15" hidden="1" x14ac:dyDescent="0.35">
      <c r="A4407" s="249" t="s">
        <v>2657</v>
      </c>
      <c r="B4407" s="9" t="s">
        <v>2604</v>
      </c>
      <c r="C4407" s="76">
        <v>44694</v>
      </c>
      <c r="D4407" s="264"/>
      <c r="E4407" s="250" t="s">
        <v>28</v>
      </c>
      <c r="F4407" s="77">
        <v>1200</v>
      </c>
      <c r="G4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1</v>
      </c>
      <c r="L4407" s="78"/>
      <c r="M4407" s="80"/>
      <c r="N4407" s="282"/>
      <c r="O4407" s="81"/>
    </row>
    <row r="4408" spans="1:15" hidden="1" x14ac:dyDescent="0.35">
      <c r="A4408" s="249" t="s">
        <v>2657</v>
      </c>
      <c r="B4408" s="9" t="s">
        <v>2604</v>
      </c>
      <c r="C4408" s="76">
        <v>44694</v>
      </c>
      <c r="D4408" s="264"/>
      <c r="E4408" s="250" t="s">
        <v>39</v>
      </c>
      <c r="F4408" s="77">
        <v>1200</v>
      </c>
      <c r="G4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282"/>
      <c r="O4408" s="81"/>
    </row>
    <row r="4409" spans="1:15" hidden="1" x14ac:dyDescent="0.35">
      <c r="A4409" s="249" t="s">
        <v>2657</v>
      </c>
      <c r="B4409" s="9" t="s">
        <v>2604</v>
      </c>
      <c r="C4409" s="76">
        <v>44694</v>
      </c>
      <c r="D4409" s="264"/>
      <c r="E4409" s="250" t="s">
        <v>18</v>
      </c>
      <c r="F4409" s="77">
        <v>1200</v>
      </c>
      <c r="G4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282"/>
      <c r="O4409" s="81"/>
    </row>
    <row r="4410" spans="1:15" hidden="1" x14ac:dyDescent="0.35">
      <c r="A4410" s="249" t="s">
        <v>2721</v>
      </c>
      <c r="B4410" s="9" t="s">
        <v>1163</v>
      </c>
      <c r="C4410" s="76">
        <v>44735</v>
      </c>
      <c r="D4410" s="264"/>
      <c r="E4410" s="161" t="s">
        <v>79</v>
      </c>
      <c r="F4410" s="88">
        <f>(1200-120)/4</f>
        <v>270</v>
      </c>
      <c r="G4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52</v>
      </c>
      <c r="L4410" s="78"/>
      <c r="M4410" s="80"/>
      <c r="N4410" s="324"/>
      <c r="O4410" s="251"/>
    </row>
    <row r="4411" spans="1:15" hidden="1" x14ac:dyDescent="0.35">
      <c r="A4411" s="249" t="s">
        <v>2721</v>
      </c>
      <c r="B4411" s="9" t="s">
        <v>1163</v>
      </c>
      <c r="C4411" s="76">
        <v>44735</v>
      </c>
      <c r="D4411" s="264"/>
      <c r="E4411" s="161" t="s">
        <v>25</v>
      </c>
      <c r="F4411" s="88">
        <f>(1200-120)/4</f>
        <v>270</v>
      </c>
      <c r="G4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251"/>
    </row>
    <row r="4412" spans="1:15" hidden="1" x14ac:dyDescent="0.35">
      <c r="A4412" s="249" t="s">
        <v>2721</v>
      </c>
      <c r="B4412" s="9" t="s">
        <v>1163</v>
      </c>
      <c r="C4412" s="76">
        <v>44735</v>
      </c>
      <c r="D4412" s="264"/>
      <c r="E4412" s="161" t="s">
        <v>18</v>
      </c>
      <c r="F4412" s="88">
        <f>(1200-120)/4</f>
        <v>270</v>
      </c>
      <c r="G4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2</v>
      </c>
      <c r="L4412" s="78"/>
      <c r="M4412" s="80"/>
      <c r="N4412" s="324"/>
      <c r="O4412" s="251"/>
    </row>
    <row r="4413" spans="1:15" hidden="1" x14ac:dyDescent="0.35">
      <c r="A4413" s="249" t="s">
        <v>2721</v>
      </c>
      <c r="B4413" s="9" t="s">
        <v>1163</v>
      </c>
      <c r="C4413" s="76">
        <v>44735</v>
      </c>
      <c r="D4413" s="264"/>
      <c r="E4413" s="161" t="s">
        <v>39</v>
      </c>
      <c r="F4413" s="88">
        <f>(1200-120)/4</f>
        <v>270</v>
      </c>
      <c r="G4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6</v>
      </c>
      <c r="L4413" s="78"/>
      <c r="M4413" s="80"/>
      <c r="N4413" s="324"/>
      <c r="O4413" s="251"/>
    </row>
    <row r="4414" spans="1:15" hidden="1" x14ac:dyDescent="0.35">
      <c r="A4414" s="249" t="s">
        <v>2721</v>
      </c>
      <c r="B4414" s="9" t="s">
        <v>1163</v>
      </c>
      <c r="C4414" s="76">
        <v>44735</v>
      </c>
      <c r="D4414" s="264"/>
      <c r="E4414" s="161" t="s">
        <v>28</v>
      </c>
      <c r="F4414" s="77">
        <v>120</v>
      </c>
      <c r="G4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hidden="1" x14ac:dyDescent="0.35">
      <c r="A4415" s="249" t="s">
        <v>2721</v>
      </c>
      <c r="B4415" s="9" t="s">
        <v>1332</v>
      </c>
      <c r="C4415" s="76">
        <v>44735</v>
      </c>
      <c r="D4415" s="264"/>
      <c r="E4415" s="161" t="s">
        <v>79</v>
      </c>
      <c r="F4415" s="88">
        <f>(1200-120)/4</f>
        <v>270</v>
      </c>
      <c r="G4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7</v>
      </c>
      <c r="L4415" s="78"/>
      <c r="M4415" s="80"/>
      <c r="N4415" s="324"/>
      <c r="O4415" s="81"/>
    </row>
    <row r="4416" spans="1:15" hidden="1" x14ac:dyDescent="0.35">
      <c r="A4416" s="249" t="s">
        <v>2721</v>
      </c>
      <c r="B4416" s="150" t="s">
        <v>1332</v>
      </c>
      <c r="C4416" s="76">
        <v>44735</v>
      </c>
      <c r="D4416" s="264"/>
      <c r="E4416" s="161" t="s">
        <v>25</v>
      </c>
      <c r="F4416" s="88">
        <f>(1200-120)/4</f>
        <v>270</v>
      </c>
      <c r="G4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hidden="1" x14ac:dyDescent="0.35">
      <c r="A4417" s="249" t="s">
        <v>2721</v>
      </c>
      <c r="B4417" s="150" t="s">
        <v>1332</v>
      </c>
      <c r="C4417" s="76">
        <v>44735</v>
      </c>
      <c r="D4417" s="264"/>
      <c r="E4417" s="161" t="s">
        <v>18</v>
      </c>
      <c r="F4417" s="88">
        <f>(1200-120)/4</f>
        <v>270</v>
      </c>
      <c r="G4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30</v>
      </c>
      <c r="L4417" s="78"/>
      <c r="M4417" s="80"/>
      <c r="N4417" s="324"/>
      <c r="O4417" s="81"/>
    </row>
    <row r="4418" spans="1:15" hidden="1" x14ac:dyDescent="0.35">
      <c r="A4418" s="249" t="s">
        <v>2721</v>
      </c>
      <c r="B4418" s="150" t="s">
        <v>1332</v>
      </c>
      <c r="C4418" s="76">
        <v>44735</v>
      </c>
      <c r="D4418" s="264"/>
      <c r="E4418" s="161" t="s">
        <v>39</v>
      </c>
      <c r="F4418" s="88">
        <f>(1200-120)/4</f>
        <v>270</v>
      </c>
      <c r="G4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28</v>
      </c>
      <c r="L4418" s="78"/>
      <c r="M4418" s="80"/>
      <c r="N4418" s="324"/>
      <c r="O4418" s="81"/>
    </row>
    <row r="4419" spans="1:15" hidden="1" x14ac:dyDescent="0.35">
      <c r="A4419" s="249" t="s">
        <v>2721</v>
      </c>
      <c r="B4419" s="150" t="s">
        <v>1332</v>
      </c>
      <c r="C4419" s="76">
        <v>44735</v>
      </c>
      <c r="D4419" s="264"/>
      <c r="E4419" s="161" t="s">
        <v>28</v>
      </c>
      <c r="F4419" s="77">
        <v>120</v>
      </c>
      <c r="G4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hidden="1" x14ac:dyDescent="0.35">
      <c r="A4420" s="249" t="s">
        <v>2721</v>
      </c>
      <c r="B4420" s="9" t="s">
        <v>2156</v>
      </c>
      <c r="C4420" s="76">
        <v>44735</v>
      </c>
      <c r="D4420" s="264"/>
      <c r="E4420" s="261" t="s">
        <v>2147</v>
      </c>
      <c r="F4420" s="88">
        <f>1200/4</f>
        <v>300</v>
      </c>
      <c r="G4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hidden="1" x14ac:dyDescent="0.35">
      <c r="A4421" s="249" t="s">
        <v>2721</v>
      </c>
      <c r="B4421" s="150" t="s">
        <v>2156</v>
      </c>
      <c r="C4421" s="76">
        <v>44735</v>
      </c>
      <c r="D4421" s="264"/>
      <c r="E4421" s="261" t="s">
        <v>2592</v>
      </c>
      <c r="F4421" s="88">
        <f>1200/4</f>
        <v>300</v>
      </c>
      <c r="G4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hidden="1" x14ac:dyDescent="0.35">
      <c r="A4422" s="249" t="s">
        <v>2721</v>
      </c>
      <c r="B4422" s="150" t="s">
        <v>2156</v>
      </c>
      <c r="C4422" s="76">
        <v>44735</v>
      </c>
      <c r="D4422" s="264"/>
      <c r="E4422" s="261" t="s">
        <v>2149</v>
      </c>
      <c r="F4422" s="88">
        <f>1200/4</f>
        <v>300</v>
      </c>
      <c r="G4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x14ac:dyDescent="0.35">
      <c r="A4423" s="249" t="s">
        <v>2721</v>
      </c>
      <c r="B4423" s="150" t="s">
        <v>2156</v>
      </c>
      <c r="C4423" s="76">
        <v>44735</v>
      </c>
      <c r="D4423" s="264"/>
      <c r="E4423" s="261" t="s">
        <v>2150</v>
      </c>
      <c r="F4423" s="88">
        <f>1200/4</f>
        <v>300</v>
      </c>
      <c r="G4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42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x14ac:dyDescent="0.35">
      <c r="A4424" s="249" t="s">
        <v>2721</v>
      </c>
      <c r="B4424" s="150" t="s">
        <v>2151</v>
      </c>
      <c r="C4424" s="76">
        <v>44735</v>
      </c>
      <c r="D4424" s="264"/>
      <c r="E4424" s="261" t="s">
        <v>2152</v>
      </c>
      <c r="F4424" s="88">
        <v>100</v>
      </c>
      <c r="G4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42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hidden="1" x14ac:dyDescent="0.35">
      <c r="A4425" s="249" t="s">
        <v>2721</v>
      </c>
      <c r="B4425" s="9" t="s">
        <v>2151</v>
      </c>
      <c r="C4425" s="76">
        <v>44735</v>
      </c>
      <c r="D4425" s="264"/>
      <c r="E4425" s="261" t="s">
        <v>2153</v>
      </c>
      <c r="F4425" s="88">
        <v>100</v>
      </c>
      <c r="G4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hidden="1" x14ac:dyDescent="0.35">
      <c r="A4426" s="249" t="s">
        <v>2721</v>
      </c>
      <c r="B4426" s="9" t="s">
        <v>2151</v>
      </c>
      <c r="C4426" s="76">
        <v>44735</v>
      </c>
      <c r="D4426" s="264"/>
      <c r="E4426" s="261" t="s">
        <v>2154</v>
      </c>
      <c r="F4426" s="88">
        <v>100</v>
      </c>
      <c r="G4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hidden="1" x14ac:dyDescent="0.35">
      <c r="A4427" s="249" t="s">
        <v>2721</v>
      </c>
      <c r="B4427" s="9" t="s">
        <v>2151</v>
      </c>
      <c r="C4427" s="76">
        <v>44735</v>
      </c>
      <c r="D4427" s="264"/>
      <c r="E4427" s="261" t="s">
        <v>2155</v>
      </c>
      <c r="F4427" s="88">
        <v>100</v>
      </c>
      <c r="G4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hidden="1" x14ac:dyDescent="0.35">
      <c r="A4428" s="249" t="s">
        <v>2721</v>
      </c>
      <c r="B4428" s="9" t="s">
        <v>2151</v>
      </c>
      <c r="C4428" s="76">
        <v>44735</v>
      </c>
      <c r="D4428" s="264"/>
      <c r="E4428" s="261" t="s">
        <v>253</v>
      </c>
      <c r="F4428" s="88">
        <v>100</v>
      </c>
      <c r="G4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hidden="1" x14ac:dyDescent="0.35">
      <c r="A4429" s="249" t="s">
        <v>2721</v>
      </c>
      <c r="B4429" s="9" t="s">
        <v>2151</v>
      </c>
      <c r="C4429" s="76">
        <v>44735</v>
      </c>
      <c r="D4429" s="264"/>
      <c r="E4429" s="261" t="s">
        <v>2785</v>
      </c>
      <c r="F4429" s="88">
        <v>100</v>
      </c>
      <c r="G4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hidden="1" x14ac:dyDescent="0.35">
      <c r="A4430" s="249" t="s">
        <v>2347</v>
      </c>
      <c r="B4430" s="9" t="s">
        <v>2346</v>
      </c>
      <c r="C4430" s="76">
        <v>44636</v>
      </c>
      <c r="D4430" s="264"/>
      <c r="E4430" s="250" t="s">
        <v>18</v>
      </c>
      <c r="F4430" s="77">
        <f>1200/4</f>
        <v>300</v>
      </c>
      <c r="G4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282"/>
      <c r="O4430" s="81"/>
    </row>
    <row r="4431" spans="1:15" hidden="1" x14ac:dyDescent="0.35">
      <c r="A4431" s="249" t="s">
        <v>2347</v>
      </c>
      <c r="B4431" s="9" t="s">
        <v>2346</v>
      </c>
      <c r="C4431" s="76">
        <v>44636</v>
      </c>
      <c r="D4431" s="264"/>
      <c r="E4431" s="250" t="s">
        <v>39</v>
      </c>
      <c r="F4431" s="77">
        <f>1200/4</f>
        <v>300</v>
      </c>
      <c r="G4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282"/>
      <c r="O4431" s="81"/>
    </row>
    <row r="4432" spans="1:15" hidden="1" x14ac:dyDescent="0.35">
      <c r="A4432" s="249" t="s">
        <v>2347</v>
      </c>
      <c r="B4432" s="9" t="s">
        <v>2346</v>
      </c>
      <c r="C4432" s="76">
        <v>44636</v>
      </c>
      <c r="D4432" s="264"/>
      <c r="E4432" s="250" t="s">
        <v>25</v>
      </c>
      <c r="F4432" s="77">
        <f>1200/4</f>
        <v>300</v>
      </c>
      <c r="G4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282"/>
      <c r="O4432" s="81"/>
    </row>
    <row r="4433" spans="1:15" hidden="1" x14ac:dyDescent="0.35">
      <c r="A4433" s="249" t="s">
        <v>2805</v>
      </c>
      <c r="B4433" s="321" t="s">
        <v>1600</v>
      </c>
      <c r="C4433" s="76">
        <v>44761</v>
      </c>
      <c r="D4433" s="180"/>
      <c r="E4433" s="261" t="s">
        <v>25</v>
      </c>
      <c r="F4433" s="88">
        <v>360</v>
      </c>
      <c r="G4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251" t="s">
        <v>1074</v>
      </c>
    </row>
    <row r="4434" spans="1:15" hidden="1" x14ac:dyDescent="0.35">
      <c r="A4434" s="249" t="s">
        <v>2805</v>
      </c>
      <c r="B4434" s="321" t="s">
        <v>1600</v>
      </c>
      <c r="C4434" s="76">
        <v>44761</v>
      </c>
      <c r="D4434" s="180"/>
      <c r="E4434" s="261" t="s">
        <v>39</v>
      </c>
      <c r="F4434" s="88">
        <v>240</v>
      </c>
      <c r="G4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251" t="s">
        <v>1074</v>
      </c>
    </row>
    <row r="4435" spans="1:15" hidden="1" x14ac:dyDescent="0.35">
      <c r="A4435" s="249" t="s">
        <v>2347</v>
      </c>
      <c r="B4435" s="150" t="s">
        <v>2346</v>
      </c>
      <c r="C4435" s="76">
        <v>44636</v>
      </c>
      <c r="D4435" s="264"/>
      <c r="E4435" s="250" t="s">
        <v>28</v>
      </c>
      <c r="F4435" s="77">
        <f>1200/4</f>
        <v>300</v>
      </c>
      <c r="G4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282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hidden="1" x14ac:dyDescent="0.35">
      <c r="A4440" s="188"/>
      <c r="B4440" s="189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hidden="1" x14ac:dyDescent="0.35">
      <c r="A4442" s="188"/>
      <c r="B4442" s="189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hidden="1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hidden="1" x14ac:dyDescent="0.35">
      <c r="A4444" s="188"/>
      <c r="B4444" s="189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hidden="1" x14ac:dyDescent="0.35">
      <c r="A4445" s="188"/>
      <c r="B4445" s="189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hidden="1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hidden="1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hidden="1" x14ac:dyDescent="0.3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hidden="1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hidden="1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hidden="1" x14ac:dyDescent="0.35">
      <c r="A4451" s="188"/>
      <c r="B4451" s="316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hidden="1" x14ac:dyDescent="0.35">
      <c r="A4452" s="188"/>
      <c r="B4452" s="316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hidden="1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hidden="1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hidden="1" x14ac:dyDescent="0.35">
      <c r="A4458" s="188"/>
      <c r="B4458" s="189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hidden="1" x14ac:dyDescent="0.35">
      <c r="A4460" s="188"/>
      <c r="B4460" s="189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hidden="1" x14ac:dyDescent="0.35">
      <c r="A4461" s="188"/>
      <c r="B4461" s="189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hidden="1" x14ac:dyDescent="0.35">
      <c r="A4462" s="188"/>
      <c r="B4462" s="189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hidden="1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hidden="1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hidden="1" x14ac:dyDescent="0.35">
      <c r="A4467" s="188"/>
      <c r="B4467" s="316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hidden="1" x14ac:dyDescent="0.35">
      <c r="A4469" s="188"/>
      <c r="B4469" s="316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hidden="1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hidden="1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hidden="1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hidden="1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hidden="1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hidden="1" x14ac:dyDescent="0.3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hidden="1" x14ac:dyDescent="0.35">
      <c r="A4477" s="188"/>
      <c r="B4477" s="316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hidden="1" x14ac:dyDescent="0.35">
      <c r="A4478" s="188"/>
      <c r="B4478" s="316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hidden="1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hidden="1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hidden="1" x14ac:dyDescent="0.3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hidden="1" x14ac:dyDescent="0.3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hidden="1" x14ac:dyDescent="0.35">
      <c r="A4483" s="188"/>
      <c r="B4483" s="189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hidden="1" x14ac:dyDescent="0.3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hidden="1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hidden="1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hidden="1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hidden="1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hidden="1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hidden="1" x14ac:dyDescent="0.35">
      <c r="A4490" s="188"/>
      <c r="B4490" s="316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hidden="1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hidden="1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hidden="1" x14ac:dyDescent="0.35">
      <c r="A4494" s="188"/>
      <c r="B4494" s="316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hidden="1" x14ac:dyDescent="0.35">
      <c r="A4495" s="188"/>
      <c r="B4495" s="316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hidden="1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hidden="1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hidden="1" x14ac:dyDescent="0.3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hidden="1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hidden="1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hidden="1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hidden="1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hidden="1" x14ac:dyDescent="0.35">
      <c r="A4510" s="188"/>
      <c r="B4510" s="189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hidden="1" x14ac:dyDescent="0.35">
      <c r="A4512" s="188"/>
      <c r="B4512" s="189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hidden="1" x14ac:dyDescent="0.35">
      <c r="A4513" s="188"/>
      <c r="B4513" s="189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hidden="1" x14ac:dyDescent="0.35">
      <c r="A4514" s="188"/>
      <c r="B4514" s="189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hidden="1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hidden="1" x14ac:dyDescent="0.35">
      <c r="A4517" s="188"/>
      <c r="B4517" s="316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hidden="1" x14ac:dyDescent="0.35">
      <c r="A4519" s="188"/>
      <c r="B4519" s="316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hidden="1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hidden="1" x14ac:dyDescent="0.35">
      <c r="A4521" s="188"/>
      <c r="B4521" s="316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hidden="1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hidden="1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hidden="1" x14ac:dyDescent="0.3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hidden="1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hidden="1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hidden="1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hidden="1" x14ac:dyDescent="0.35">
      <c r="A4530" s="188"/>
      <c r="B4530" s="189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hidden="1" x14ac:dyDescent="0.35">
      <c r="A4531" s="188"/>
      <c r="B4531" s="189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hidden="1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hidden="1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hidden="1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hidden="1" x14ac:dyDescent="0.35">
      <c r="A4535" s="188"/>
      <c r="B4535" s="189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hidden="1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hidden="1" x14ac:dyDescent="0.35">
      <c r="A4537" s="188"/>
      <c r="B4537" s="316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hidden="1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hidden="1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hidden="1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hidden="1" x14ac:dyDescent="0.3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hidden="1" x14ac:dyDescent="0.35">
      <c r="A4544" s="188"/>
      <c r="B4544" s="189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hidden="1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hidden="1" x14ac:dyDescent="0.35">
      <c r="A4546" s="188"/>
      <c r="B4546" s="189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hidden="1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hidden="1" x14ac:dyDescent="0.3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hidden="1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hidden="1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hidden="1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hidden="1" x14ac:dyDescent="0.35">
      <c r="A4563" s="188"/>
      <c r="B4563" s="189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hidden="1" x14ac:dyDescent="0.35">
      <c r="A4564" s="188"/>
      <c r="B4564" s="189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hidden="1" x14ac:dyDescent="0.35">
      <c r="A4565" s="188"/>
      <c r="B4565" s="189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hidden="1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hidden="1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hidden="1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hidden="1" x14ac:dyDescent="0.35">
      <c r="A4570" s="188"/>
      <c r="B4570" s="316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hidden="1" x14ac:dyDescent="0.35">
      <c r="A4572" s="188"/>
      <c r="B4572" s="316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hidden="1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hidden="1" x14ac:dyDescent="0.35">
      <c r="A4574" s="188"/>
      <c r="B4574" s="316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hidden="1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hidden="1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hidden="1" x14ac:dyDescent="0.3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hidden="1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hidden="1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hidden="1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hidden="1" x14ac:dyDescent="0.35">
      <c r="A4598" s="188"/>
      <c r="B4598" s="189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hidden="1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hidden="1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hidden="1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hidden="1" x14ac:dyDescent="0.35">
      <c r="A4617" s="188"/>
      <c r="B4617" s="189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hidden="1" x14ac:dyDescent="0.35">
      <c r="A4618" s="188"/>
      <c r="B4618" s="189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hidden="1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hidden="1" x14ac:dyDescent="0.3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hidden="1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hidden="1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hidden="1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hidden="1" x14ac:dyDescent="0.35">
      <c r="A4626" s="266"/>
      <c r="B4626" s="82"/>
      <c r="C4626" s="211"/>
      <c r="D4626" s="267"/>
      <c r="E4626" s="82"/>
      <c r="F4626" s="184"/>
      <c r="G4626" s="83"/>
      <c r="H4626" s="83"/>
      <c r="I4626" s="83"/>
      <c r="J4626" s="84"/>
      <c r="K4626" s="96">
        <f>SUMIFS(Table3[[#All],[Tổng Kim hư]],Table3[[#All],[Mã Hàng ]],Table1[[#All],[Mã hàng]],Table3[[#All],[Màu ]],Table1[[#All],[Màu]],Table3[[#All],[Ngày đặt ]],Table1[[#All],[Ngày đặt]])</f>
        <v>0</v>
      </c>
      <c r="L4626" s="83"/>
      <c r="M4626" s="85"/>
      <c r="N4626" s="325"/>
      <c r="O4626" s="284"/>
    </row>
  </sheetData>
  <phoneticPr fontId="18" type="noConversion"/>
  <hyperlinks>
    <hyperlink ref="O4331" r:id="rId1" display="Wo@da Trái tim"/>
    <hyperlink ref="B4638" r:id="rId2" display="Wo@da LK-301"/>
    <hyperlink ref="B4647" r:id="rId3" display="Wo@da LK-403"/>
    <hyperlink ref="B4631" r:id="rId4" display="Wo@da LK-401"/>
    <hyperlink ref="B4633" r:id="rId5" display="Wo@da LK-801"/>
    <hyperlink ref="B4655" r:id="rId6" display="Wo@da NC Bamboo"/>
    <hyperlink ref="B4656" r:id="rId7" display="Wo@da NC Bamboo"/>
    <hyperlink ref="B4821" r:id="rId8" display="Wo@da LK-401"/>
    <hyperlink ref="B4824" r:id="rId9" display="Wo@da LK-204"/>
    <hyperlink ref="O4328" r:id="rId10" display="Wo@da Trái tim"/>
    <hyperlink ref="B4636" r:id="rId11" display="mailto:Wo@da%20LK-301"/>
    <hyperlink ref="B4645" r:id="rId12" display="mailto:Wo@da%20LK-403"/>
    <hyperlink ref="B4629" r:id="rId13" display="mailto:Wo@da%20LK-401"/>
    <hyperlink ref="B4631" r:id="rId14" display="mailto:Wo@da%20LK-801"/>
    <hyperlink ref="B4653" r:id="rId15" display="mailto:Wo@da%20NC%20Bamboo"/>
    <hyperlink ref="B4654" r:id="rId16" display="mailto:Wo@da%20NC%20Bamboo"/>
    <hyperlink ref="B4819" r:id="rId17" display="Wo@da LK-401"/>
    <hyperlink ref="B4822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693" zoomScaleNormal="100" workbookViewId="0">
      <selection activeCell="B5752" sqref="B5752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t="14.5" hidden="1" customHeight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t="14.5" hidden="1" customHeight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t="14.5" hidden="1" customHeight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t="14.5" hidden="1" customHeight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t="14.5" hidden="1" customHeight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t="14.5" hidden="1" customHeight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t="14.5" hidden="1" customHeight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t="14.5" hidden="1" customHeight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t="14.5" hidden="1" customHeight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t="14.5" hidden="1" customHeight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t="14.5" hidden="1" customHeight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t="14.5" hidden="1" customHeight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t="14.5" hidden="1" customHeight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t="14.5" hidden="1" customHeight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t="14.5" hidden="1" customHeight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t="14.5" hidden="1" customHeight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t="14.5" hidden="1" customHeight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t="14.5" hidden="1" customHeight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t="14.5" hidden="1" customHeight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t="14.5" hidden="1" customHeight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t="14.5" hidden="1" customHeight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t="14.5" hidden="1" customHeight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t="14.5" hidden="1" customHeight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t="14.5" hidden="1" customHeight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t="14.5" hidden="1" customHeight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t="14.5" hidden="1" customHeight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t="14.5" hidden="1" customHeight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t="14.5" hidden="1" customHeight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t="14.5" hidden="1" customHeight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t="14.5" hidden="1" customHeight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t="14.5" hidden="1" customHeight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t="14.5" hidden="1" customHeight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t="14.5" hidden="1" customHeight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t="14.5" hidden="1" customHeight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t="14.5" hidden="1" customHeight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t="14.5" hidden="1" customHeight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t="14.5" hidden="1" customHeight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t="14.5" hidden="1" customHeight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t="14.5" hidden="1" customHeight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t="14.5" hidden="1" customHeight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t="14.5" hidden="1" customHeight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t="14.5" hidden="1" customHeight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t="14.5" hidden="1" customHeight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t="14.5" hidden="1" customHeight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t="14.5" hidden="1" customHeight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t="14.5" hidden="1" customHeight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t="14.5" hidden="1" customHeight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t="14.5" hidden="1" customHeight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t="14.5" hidden="1" customHeight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t="14.5" hidden="1" customHeight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t="14.5" hidden="1" customHeight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t="14.5" hidden="1" customHeight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t="14.5" hidden="1" customHeight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t="14.5" hidden="1" customHeight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t="14.5" hidden="1" customHeight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t="14.5" hidden="1" customHeight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t="14.5" hidden="1" customHeight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t="14.5" hidden="1" customHeight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t="14.5" hidden="1" customHeight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t="14.5" hidden="1" customHeight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t="14.5" hidden="1" customHeight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t="14.5" hidden="1" customHeight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t="14.5" hidden="1" customHeight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t="14.5" hidden="1" customHeight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t="14.5" hidden="1" customHeight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t="14.5" hidden="1" customHeight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t="14.5" hidden="1" customHeight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t="14.5" hidden="1" customHeight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t="14.5" hidden="1" customHeight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t="14.5" hidden="1" customHeight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t="14.5" hidden="1" customHeight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t="14.5" hidden="1" customHeight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t="14.5" hidden="1" customHeight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t="14.5" hidden="1" customHeight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t="14.5" hidden="1" customHeight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t="14.5" hidden="1" customHeight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t="14.5" hidden="1" customHeight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t="14.5" hidden="1" customHeight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t="14.5" hidden="1" customHeight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t="14.5" hidden="1" customHeight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t="14.5" hidden="1" customHeight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t="14.5" hidden="1" customHeight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t="14.5" hidden="1" customHeight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t="14.5" hidden="1" customHeight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t="14.5" hidden="1" customHeight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t="14.5" hidden="1" customHeight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t="14.5" hidden="1" customHeight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t="14.5" hidden="1" customHeight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t="14.5" hidden="1" customHeight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t="14.5" hidden="1" customHeight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t="14.5" hidden="1" customHeight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t="14.5" hidden="1" customHeight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t="14.5" hidden="1" customHeight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t="14.5" hidden="1" customHeight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t="14.5" hidden="1" customHeight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t="14.5" hidden="1" customHeight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t="14.5" hidden="1" customHeight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t="14.5" hidden="1" customHeight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t="14.5" hidden="1" customHeight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t="14.5" hidden="1" customHeight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t="14.5" hidden="1" customHeight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t="14.5" hidden="1" customHeight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t="14.5" hidden="1" customHeight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t="14.5" hidden="1" customHeight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t="14.5" hidden="1" customHeight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t="14.5" hidden="1" customHeight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t="14.5" hidden="1" customHeight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t="14.5" hidden="1" customHeight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t="14.5" hidden="1" customHeight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t="14.5" hidden="1" customHeight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t="14.5" hidden="1" customHeight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t="14.5" hidden="1" customHeight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t="14.5" hidden="1" customHeight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t="14.5" hidden="1" customHeight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t="14.5" hidden="1" customHeight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t="14.5" hidden="1" customHeight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t="14.5" hidden="1" customHeight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t="14.5" hidden="1" customHeight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t="14.5" hidden="1" customHeight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t="14.5" hidden="1" customHeight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t="14.5" hidden="1" customHeight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t="14.5" hidden="1" customHeight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t="14.5" hidden="1" customHeight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t="14.5" hidden="1" customHeight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t="14.5" hidden="1" customHeight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t="14.5" hidden="1" customHeight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t="14.5" hidden="1" customHeight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t="14.5" hidden="1" customHeight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t="14.5" hidden="1" customHeight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t="14.5" hidden="1" customHeight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t="14.5" hidden="1" customHeight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t="14.5" hidden="1" customHeight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t="14.5" hidden="1" customHeight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t="14.5" hidden="1" customHeight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t="14.5" hidden="1" customHeight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t="14.5" hidden="1" customHeight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t="14.5" hidden="1" customHeight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t="14.5" hidden="1" customHeight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t="14.5" hidden="1" customHeight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t="14.5" hidden="1" customHeight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t="14.5" hidden="1" customHeight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t="14.5" hidden="1" customHeight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t="14.5" hidden="1" customHeight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t="14.5" hidden="1" customHeight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t="14.5" hidden="1" customHeight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t="14.5" hidden="1" customHeight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t="14.5" hidden="1" customHeight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t="14.5" hidden="1" customHeight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t="14.5" hidden="1" customHeight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t="14.5" hidden="1" customHeight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t="14.5" hidden="1" customHeight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t="14.5" hidden="1" customHeight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t="14.5" hidden="1" customHeight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t="14.5" hidden="1" customHeight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t="14.5" hidden="1" customHeight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t="14.5" hidden="1" customHeight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t="14.5" hidden="1" customHeight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t="14.5" hidden="1" customHeight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t="14.5" hidden="1" customHeight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t="14.5" hidden="1" customHeight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t="14.5" hidden="1" customHeight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t="14.5" hidden="1" customHeight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t="14.5" hidden="1" customHeight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t="14.5" hidden="1" customHeight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t="14.5" hidden="1" customHeight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t="14.5" hidden="1" customHeight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t="14.5" hidden="1" customHeight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t="14.5" hidden="1" customHeight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t="14.5" hidden="1" customHeight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t="14.5" hidden="1" customHeight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t="14.5" hidden="1" customHeight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t="14.5" hidden="1" customHeight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t="14.5" hidden="1" customHeight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t="14.5" hidden="1" customHeight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t="14.5" hidden="1" customHeight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t="14.5" hidden="1" customHeight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t="14.5" hidden="1" customHeight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t="14.5" hidden="1" customHeight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t="14.5" hidden="1" customHeight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t="14.5" hidden="1" customHeight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t="14.5" hidden="1" customHeight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t="14.5" hidden="1" customHeight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t="14.5" hidden="1" customHeight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t="14.5" hidden="1" customHeight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t="14.5" hidden="1" customHeight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t="14.5" hidden="1" customHeight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t="14.5" hidden="1" customHeight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t="14.5" hidden="1" customHeight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t="14.5" hidden="1" customHeight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t="14.5" hidden="1" customHeight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t="14.5" hidden="1" customHeight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t="14.5" hidden="1" customHeight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t="14.5" hidden="1" customHeight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t="14.5" hidden="1" customHeight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t="14.5" hidden="1" customHeight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t="14.5" hidden="1" customHeight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t="14.5" hidden="1" customHeight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t="14.5" hidden="1" customHeight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t="14.5" hidden="1" customHeight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t="14.5" hidden="1" customHeight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t="14.5" hidden="1" customHeight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t="14.5" hidden="1" customHeight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t="14.5" hidden="1" customHeight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t="14.5" hidden="1" customHeight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t="14.5" hidden="1" customHeight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t="14.5" hidden="1" customHeight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t="14.5" hidden="1" customHeight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t="14.5" hidden="1" customHeight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t="14.5" hidden="1" customHeight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t="14.5" hidden="1" customHeight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t="14.5" hidden="1" customHeight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t="14.5" hidden="1" customHeight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t="14.5" hidden="1" customHeight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t="14.5" hidden="1" customHeight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t="14.5" hidden="1" customHeight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t="14.5" hidden="1" customHeight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t="14.5" hidden="1" customHeight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t="14.5" hidden="1" customHeight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t="14.5" hidden="1" customHeight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t="14.5" hidden="1" customHeight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t="14.5" hidden="1" customHeight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t="14.5" hidden="1" customHeight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t="14.5" hidden="1" customHeight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t="14.5" hidden="1" customHeight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t="14.5" hidden="1" customHeight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t="14.5" hidden="1" customHeight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t="14.5" hidden="1" customHeight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t="14.5" hidden="1" customHeight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t="14.5" hidden="1" customHeight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t="14.5" hidden="1" customHeight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t="14.5" hidden="1" customHeight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t="14.5" hidden="1" customHeight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t="14.5" hidden="1" customHeight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t="14.5" hidden="1" customHeight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t="14.5" hidden="1" customHeight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t="14.5" hidden="1" customHeight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t="14.5" hidden="1" customHeight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t="14.5" hidden="1" customHeight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t="14.5" hidden="1" customHeight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t="14.5" hidden="1" customHeight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t="14.5" hidden="1" customHeight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t="14.5" hidden="1" customHeight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t="14.5" hidden="1" customHeight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t="14.5" hidden="1" customHeight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t="14.5" hidden="1" customHeight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t="14.5" hidden="1" customHeight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t="14.5" hidden="1" customHeight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t="14.5" hidden="1" customHeight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t="14.5" hidden="1" customHeight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t="14.5" hidden="1" customHeight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t="14.5" hidden="1" customHeight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t="14.5" hidden="1" customHeight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t="14.5" hidden="1" customHeight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t="14.5" hidden="1" customHeight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t="14.5" hidden="1" customHeight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t="14.5" hidden="1" customHeight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t="14.5" hidden="1" customHeight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t="14.5" hidden="1" customHeight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t="14.5" hidden="1" customHeight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t="14.5" hidden="1" customHeight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t="14.5" hidden="1" customHeight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t="14.5" hidden="1" customHeight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t="14.5" hidden="1" customHeight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t="14.5" hidden="1" customHeight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t="14.5" hidden="1" customHeight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t="14.5" hidden="1" customHeight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t="14.5" hidden="1" customHeight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t="14.5" hidden="1" customHeight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t="14.5" hidden="1" customHeight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t="14.5" hidden="1" customHeight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t="14.5" hidden="1" customHeight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t="14.5" hidden="1" customHeight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t="14.5" hidden="1" customHeight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t="14.5" hidden="1" customHeight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t="14.5" hidden="1" customHeight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t="14.5" hidden="1" customHeight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t="14.5" hidden="1" customHeight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t="14.5" hidden="1" customHeight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t="14.5" hidden="1" customHeight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t="14.5" hidden="1" customHeight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t="14.5" hidden="1" customHeight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t="14.5" hidden="1" customHeight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t="14.5" hidden="1" customHeight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t="14.5" hidden="1" customHeight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t="14.5" hidden="1" customHeight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t="14.5" hidden="1" customHeight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t="14.5" hidden="1" customHeight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t="14.5" hidden="1" customHeight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t="14.5" hidden="1" customHeight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t="14.5" hidden="1" customHeight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t="14.5" hidden="1" customHeight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t="14.5" hidden="1" customHeight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t="14.5" hidden="1" customHeight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t="14.5" hidden="1" customHeight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t="14.5" hidden="1" customHeight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t="14.5" hidden="1" customHeight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t="14.5" hidden="1" customHeight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t="14.5" hidden="1" customHeight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t="14.5" hidden="1" customHeight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t="14.5" hidden="1" customHeight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t="14.5" hidden="1" customHeight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t="14.5" hidden="1" customHeight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t="14.5" hidden="1" customHeight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t="14.5" hidden="1" customHeight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t="14.5" hidden="1" customHeight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t="14.5" hidden="1" customHeight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t="14.5" hidden="1" customHeight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t="14.5" hidden="1" customHeight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t="14.5" hidden="1" customHeight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t="14.5" hidden="1" customHeight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t="14.5" hidden="1" customHeight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t="14.5" hidden="1" customHeight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t="14.5" hidden="1" customHeight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t="14.5" hidden="1" customHeight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t="14.5" hidden="1" customHeight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t="14.5" hidden="1" customHeight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t="14.5" hidden="1" customHeight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t="14.5" hidden="1" customHeight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t="14.5" hidden="1" customHeight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t="14.5" hidden="1" customHeight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t="14.5" hidden="1" customHeight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t="14.5" hidden="1" customHeight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t="14.5" hidden="1" customHeight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t="14.5" hidden="1" customHeight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t="14.5" hidden="1" customHeight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t="14.5" hidden="1" customHeight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t="14.5" hidden="1" customHeight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t="14.5" hidden="1" customHeight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t="14.5" hidden="1" customHeight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t="14.5" hidden="1" customHeight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t="14.5" hidden="1" customHeight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t="14.5" hidden="1" customHeight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t="14.5" hidden="1" customHeight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t="14.5" hidden="1" customHeight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t="14.5" hidden="1" customHeight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t="14.5" hidden="1" customHeight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t="14.5" hidden="1" customHeight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t="14.5" hidden="1" customHeight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t="14.5" hidden="1" customHeight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t="14.5" hidden="1" customHeight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t="14.5" hidden="1" customHeight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t="14.5" hidden="1" customHeight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t="14.5" hidden="1" customHeight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t="14.5" hidden="1" customHeight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t="14.5" hidden="1" customHeight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t="14.5" hidden="1" customHeight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t="14.5" hidden="1" customHeight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t="14.5" hidden="1" customHeight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t="14.5" hidden="1" customHeight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t="14.5" hidden="1" customHeight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t="14.5" hidden="1" customHeight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t="14.5" hidden="1" customHeight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t="14.5" hidden="1" customHeight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t="14.5" hidden="1" customHeight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t="14.5" hidden="1" customHeight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t="14.5" hidden="1" customHeight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t="14.5" hidden="1" customHeight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t="14.5" hidden="1" customHeight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t="14.5" hidden="1" customHeight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t="14.5" hidden="1" customHeight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t="14.5" hidden="1" customHeight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t="14.5" hidden="1" customHeight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t="14.5" hidden="1" customHeight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t="14.5" hidden="1" customHeight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t="14.5" hidden="1" customHeight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t="14.5" hidden="1" customHeight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t="14.5" hidden="1" customHeight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t="14.5" hidden="1" customHeight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t="14.5" hidden="1" customHeight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t="14.5" hidden="1" customHeight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t="14.5" hidden="1" customHeight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t="14.5" hidden="1" customHeight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t="14.5" hidden="1" customHeight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t="14.5" hidden="1" customHeight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t="14.5" hidden="1" customHeight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t="14.5" hidden="1" customHeight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t="14.5" hidden="1" customHeight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t="14.5" hidden="1" customHeight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t="14.5" hidden="1" customHeight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t="14.5" hidden="1" customHeight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t="14.5" hidden="1" customHeight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t="14.5" hidden="1" customHeight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t="14.5" hidden="1" customHeight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t="14.5" hidden="1" customHeight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t="14.5" hidden="1" customHeight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t="14.5" hidden="1" customHeight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t="14.5" hidden="1" customHeight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t="14.5" hidden="1" customHeight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t="14.5" hidden="1" customHeight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t="14.5" hidden="1" customHeight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t="14.5" hidden="1" customHeight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t="14.5" hidden="1" customHeight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t="14.5" hidden="1" customHeight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t="14.5" hidden="1" customHeight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t="14.5" hidden="1" customHeight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t="14.5" hidden="1" customHeight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t="14.5" hidden="1" customHeight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t="14.5" hidden="1" customHeight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t="14.5" hidden="1" customHeight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t="14.5" hidden="1" customHeight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t="14.5" hidden="1" customHeight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t="14.5" hidden="1" customHeight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t="14.5" hidden="1" customHeight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t="14.5" hidden="1" customHeight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t="14.5" hidden="1" customHeight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t="14.5" hidden="1" customHeight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t="14.5" hidden="1" customHeight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t="14.5" hidden="1" customHeight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t="14.5" hidden="1" customHeight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t="14.5" hidden="1" customHeight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t="14.5" hidden="1" customHeight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t="14.5" hidden="1" customHeight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t="14.5" hidden="1" customHeight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t="14.5" hidden="1" customHeight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t="14.5" hidden="1" customHeight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t="14.5" hidden="1" customHeight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t="14.5" hidden="1" customHeight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t="14.5" hidden="1" customHeight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t="14.5" hidden="1" customHeight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t="14.5" hidden="1" customHeight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t="14.5" hidden="1" customHeight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t="14.5" hidden="1" customHeight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t="14.5" hidden="1" customHeight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t="14.5" hidden="1" customHeight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t="14.5" hidden="1" customHeight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t="14.5" hidden="1" customHeight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t="14.5" hidden="1" customHeight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t="14.5" hidden="1" customHeight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t="14.5" hidden="1" customHeight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t="14.5" hidden="1" customHeight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t="14.5" hidden="1" customHeight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t="14.5" hidden="1" customHeight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t="14.5" hidden="1" customHeight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t="14.5" hidden="1" customHeight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t="14.5" hidden="1" customHeight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t="14.5" hidden="1" customHeight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t="14.5" hidden="1" customHeight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t="14.5" hidden="1" customHeight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t="14.5" hidden="1" customHeight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t="14.5" hidden="1" customHeight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t="14.5" hidden="1" customHeight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t="14.5" hidden="1" customHeight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t="14.5" hidden="1" customHeight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t="14.5" hidden="1" customHeight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t="14.5" hidden="1" customHeight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t="14.5" hidden="1" customHeight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t="14.5" hidden="1" customHeight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t="14.5" hidden="1" customHeight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t="14.5" hidden="1" customHeight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t="14.5" hidden="1" customHeight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t="14.5" hidden="1" customHeight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t="14.5" hidden="1" customHeight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t="14.5" hidden="1" customHeight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t="14.5" hidden="1" customHeight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t="14.5" hidden="1" customHeight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t="14.5" hidden="1" customHeight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t="14.5" hidden="1" customHeight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t="14.5" hidden="1" customHeight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t="14.5" hidden="1" customHeight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t="14.5" hidden="1" customHeight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t="14.5" hidden="1" customHeight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t="14.5" hidden="1" customHeight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t="14.5" hidden="1" customHeight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t="14.5" hidden="1" customHeight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t="14.5" hidden="1" customHeight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t="14.5" hidden="1" customHeight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t="14.5" hidden="1" customHeight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t="14.5" hidden="1" customHeight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t="14.5" hidden="1" customHeight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t="14.5" hidden="1" customHeight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t="14.5" hidden="1" customHeight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t="14.5" hidden="1" customHeight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t="14.5" hidden="1" customHeight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t="14.5" hidden="1" customHeight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t="14.5" hidden="1" customHeight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t="14.5" hidden="1" customHeight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t="14.5" hidden="1" customHeight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t="14.5" hidden="1" customHeight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t="14.5" hidden="1" customHeight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t="14.5" hidden="1" customHeight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t="14.5" hidden="1" customHeight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t="14.5" hidden="1" customHeight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t="14.5" hidden="1" customHeight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t="14.5" hidden="1" customHeight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t="14.5" hidden="1" customHeight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t="14.5" hidden="1" customHeight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t="14.5" hidden="1" customHeight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t="14.5" hidden="1" customHeight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t="14.5" hidden="1" customHeight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t="14.5" hidden="1" customHeight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t="14.5" hidden="1" customHeight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t="14.5" hidden="1" customHeight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t="14.5" hidden="1" customHeight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t="14.5" hidden="1" customHeight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t="14.5" hidden="1" customHeight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t="14.5" hidden="1" customHeight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t="14.5" hidden="1" customHeight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t="14.5" hidden="1" customHeight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t="14.5" hidden="1" customHeight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t="14.5" hidden="1" customHeight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t="14.5" hidden="1" customHeight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t="14.5" hidden="1" customHeight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t="14.5" hidden="1" customHeight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t="14.5" hidden="1" customHeight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t="14.5" hidden="1" customHeight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t="14.5" hidden="1" customHeight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t="14.5" hidden="1" customHeight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t="14.5" hidden="1" customHeight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t="14.5" hidden="1" customHeight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t="14.5" hidden="1" customHeight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t="14.5" hidden="1" customHeight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t="14.5" hidden="1" customHeight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t="14.5" hidden="1" customHeight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t="14.5" hidden="1" customHeight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t="14.5" hidden="1" customHeight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t="14.5" hidden="1" customHeight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t="14.5" hidden="1" customHeight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t="14.5" hidden="1" customHeight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t="14.5" hidden="1" customHeight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t="14.5" hidden="1" customHeight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t="14.5" hidden="1" customHeight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t="14.5" hidden="1" customHeight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t="14.5" hidden="1" customHeight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t="14.5" hidden="1" customHeight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t="14.5" hidden="1" customHeight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t="14.5" hidden="1" customHeight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t="14.5" hidden="1" customHeight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t="14.5" hidden="1" customHeight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t="14.5" hidden="1" customHeight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t="14.5" hidden="1" customHeight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t="14.5" hidden="1" customHeight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t="14.5" hidden="1" customHeight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t="14.5" hidden="1" customHeight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t="14.5" hidden="1" customHeight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t="14.5" hidden="1" customHeight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t="14.5" hidden="1" customHeight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t="14.5" hidden="1" customHeight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t="14.5" hidden="1" customHeight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t="14.5" hidden="1" customHeight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t="14.5" hidden="1" customHeight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t="14.5" hidden="1" customHeight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t="14.5" hidden="1" customHeight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t="14.5" hidden="1" customHeight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t="14.5" hidden="1" customHeight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t="14.5" hidden="1" customHeight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t="14.5" hidden="1" customHeight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t="14.5" hidden="1" customHeight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t="14.5" hidden="1" customHeight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t="14.5" hidden="1" customHeight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t="14.5" hidden="1" customHeight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t="14.5" hidden="1" customHeight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t="14.5" hidden="1" customHeight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t="14.5" hidden="1" customHeight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t="14.5" hidden="1" customHeight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t="14.5" hidden="1" customHeight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t="14.5" hidden="1" customHeight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t="14.5" hidden="1" customHeight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t="14.5" hidden="1" customHeight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t="14.5" hidden="1" customHeight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t="14.5" hidden="1" customHeight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t="14.5" hidden="1" customHeight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t="14.5" hidden="1" customHeight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t="14.5" hidden="1" customHeight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t="14.5" hidden="1" customHeight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t="14.5" hidden="1" customHeight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t="14.5" hidden="1" customHeight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t="14.5" hidden="1" customHeight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t="14.5" hidden="1" customHeight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t="14.5" hidden="1" customHeight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t="14.5" hidden="1" customHeight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t="14.5" hidden="1" customHeight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t="14.5" hidden="1" customHeight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t="14.5" hidden="1" customHeight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t="14.5" hidden="1" customHeight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t="14.5" hidden="1" customHeight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t="14.5" hidden="1" customHeight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t="14.5" hidden="1" customHeight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t="14.5" hidden="1" customHeight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t="14.5" hidden="1" customHeight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t="14.5" hidden="1" customHeight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t="14.5" hidden="1" customHeight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t="14.5" hidden="1" customHeight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t="14.5" hidden="1" customHeight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t="14.5" hidden="1" customHeight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t="14.5" hidden="1" customHeight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t="14.5" hidden="1" customHeight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t="14.5" hidden="1" customHeight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t="14.5" hidden="1" customHeight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t="14.5" hidden="1" customHeight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t="14.5" hidden="1" customHeight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t="14.5" hidden="1" customHeight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t="14.5" hidden="1" customHeight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t="14.5" hidden="1" customHeight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t="14.5" hidden="1" customHeight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t="14.5" hidden="1" customHeight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t="14.5" hidden="1" customHeight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t="14.5" hidden="1" customHeight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t="14.5" hidden="1" customHeight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t="14.5" hidden="1" customHeight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t="14.5" hidden="1" customHeight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t="14.5" hidden="1" customHeight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t="14.5" hidden="1" customHeight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t="14.5" hidden="1" customHeight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t="14.5" hidden="1" customHeight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t="14.5" hidden="1" customHeight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t="14.5" hidden="1" customHeight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t="14.5" hidden="1" customHeight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t="14.5" hidden="1" customHeight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t="14.5" hidden="1" customHeight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t="14.5" hidden="1" customHeight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t="14.5" hidden="1" customHeight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t="14.5" hidden="1" customHeight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t="14.5" hidden="1" customHeight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t="14.5" hidden="1" customHeight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t="14.5" hidden="1" customHeight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t="14.5" hidden="1" customHeight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t="14.5" hidden="1" customHeight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t="14.5" hidden="1" customHeight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t="14.5" hidden="1" customHeight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t="14.5" hidden="1" customHeight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t="14.5" hidden="1" customHeight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t="14.5" hidden="1" customHeight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t="14.5" hidden="1" customHeight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t="14.5" hidden="1" customHeight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t="14.5" hidden="1" customHeight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t="14.5" hidden="1" customHeight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t="14.5" hidden="1" customHeight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t="14.5" hidden="1" customHeight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t="14.5" hidden="1" customHeight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t="14.5" hidden="1" customHeight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t="14.5" hidden="1" customHeight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t="14.5" hidden="1" customHeight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t="14.5" hidden="1" customHeight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t="14.5" hidden="1" customHeight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t="14.5" hidden="1" customHeight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t="14.5" hidden="1" customHeight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t="14.5" hidden="1" customHeight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t="14.5" hidden="1" customHeight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t="14.5" hidden="1" customHeight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t="14.5" hidden="1" customHeight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t="14.5" hidden="1" customHeight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t="14.5" hidden="1" customHeight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t="14.5" hidden="1" customHeight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t="14.5" hidden="1" customHeight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t="14.5" hidden="1" customHeight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t="14.5" hidden="1" customHeight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t="14.5" hidden="1" customHeight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t="14.5" hidden="1" customHeight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t="14.5" hidden="1" customHeight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t="14.5" hidden="1" customHeight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t="14.5" hidden="1" customHeight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t="14.5" hidden="1" customHeight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t="14.5" hidden="1" customHeight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t="14.5" hidden="1" customHeight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t="14.5" hidden="1" customHeight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t="14.5" hidden="1" customHeight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t="14.5" hidden="1" customHeight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t="14.5" hidden="1" customHeight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t="14.5" hidden="1" customHeight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t="14.5" hidden="1" customHeight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t="14.5" hidden="1" customHeight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t="14.5" hidden="1" customHeight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t="14.5" hidden="1" customHeight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t="14.5" hidden="1" customHeight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t="14.5" hidden="1" customHeight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t="14.5" hidden="1" customHeight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t="14.5" hidden="1" customHeight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t="14.5" hidden="1" customHeight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t="14.5" hidden="1" customHeight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t="14.5" hidden="1" customHeight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t="14.5" hidden="1" customHeight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t="14.5" hidden="1" customHeight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t="14.5" hidden="1" customHeight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t="14.5" hidden="1" customHeight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t="14.5" hidden="1" customHeight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t="14.5" hidden="1" customHeight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t="14.5" hidden="1" customHeight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t="14.5" hidden="1" customHeight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t="14.5" hidden="1" customHeight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t="14.5" hidden="1" customHeight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t="14.5" hidden="1" customHeight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t="14.5" hidden="1" customHeight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t="14.5" hidden="1" customHeight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t="14.5" hidden="1" customHeight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t="14.5" hidden="1" customHeight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t="14.5" hidden="1" customHeight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t="14.5" hidden="1" customHeight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t="14.5" hidden="1" customHeight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t="14.5" hidden="1" customHeight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t="14.5" hidden="1" customHeight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t="14.5" hidden="1" customHeight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t="14.5" hidden="1" customHeight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t="14.5" hidden="1" customHeight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t="14.5" hidden="1" customHeight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t="14.5" hidden="1" customHeight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t="14.5" hidden="1" customHeight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t="14.5" hidden="1" customHeight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t="14.5" hidden="1" customHeight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t="14.5" hidden="1" customHeight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t="14.5" hidden="1" customHeight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t="14.5" hidden="1" customHeight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t="14.5" hidden="1" customHeight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t="14.5" hidden="1" customHeight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t="14.5" hidden="1" customHeight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t="14.5" hidden="1" customHeight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t="14.5" hidden="1" customHeight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t="14.5" hidden="1" customHeight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t="14.5" hidden="1" customHeight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t="14.5" hidden="1" customHeight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t="14.5" hidden="1" customHeight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t="14.5" hidden="1" customHeight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t="14.5" hidden="1" customHeight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t="14.5" hidden="1" customHeight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t="14.5" hidden="1" customHeight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t="14.5" hidden="1" customHeight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t="14.5" hidden="1" customHeight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t="14.5" hidden="1" customHeight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t="14.5" hidden="1" customHeight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t="14.5" hidden="1" customHeight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t="14.5" hidden="1" customHeight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t="14.5" hidden="1" customHeight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t="14.5" hidden="1" customHeight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t="14.5" hidden="1" customHeight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t="14.5" hidden="1" customHeight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t="14.5" hidden="1" customHeight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t="14.5" hidden="1" customHeight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t="14.5" hidden="1" customHeight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t="14.5" hidden="1" customHeight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t="14.5" hidden="1" customHeight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t="14.5" hidden="1" customHeight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t="14.5" hidden="1" customHeight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t="14.5" hidden="1" customHeight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t="14.5" hidden="1" customHeight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t="14.5" hidden="1" customHeight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t="14.5" hidden="1" customHeight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t="14.5" hidden="1" customHeight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t="14.5" hidden="1" customHeight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t="14.5" hidden="1" customHeight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t="14.5" hidden="1" customHeight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t="14.5" hidden="1" customHeight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t="14.5" hidden="1" customHeight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t="14.5" hidden="1" customHeight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t="14.5" hidden="1" customHeight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t="14.5" hidden="1" customHeight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t="14.5" hidden="1" customHeight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t="14.5" hidden="1" customHeight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t="14.5" hidden="1" customHeight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t="14.5" hidden="1" customHeight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t="14.5" hidden="1" customHeight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t="14.5" hidden="1" customHeight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t="14.5" hidden="1" customHeight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t="14.5" hidden="1" customHeight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t="14.5" hidden="1" customHeight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t="14.5" hidden="1" customHeight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t="14.5" hidden="1" customHeight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t="14.5" hidden="1" customHeight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t="14.5" hidden="1" customHeight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t="14.5" hidden="1" customHeight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t="14.5" hidden="1" customHeight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t="14.5" hidden="1" customHeight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t="14.5" hidden="1" customHeight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t="14.5" hidden="1" customHeight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t="14.5" hidden="1" customHeight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t="14.5" hidden="1" customHeight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t="14.5" hidden="1" customHeight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t="14.5" hidden="1" customHeight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t="14.5" hidden="1" customHeight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t="14.5" hidden="1" customHeight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t="14.5" hidden="1" customHeight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t="14.5" hidden="1" customHeight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t="14.5" hidden="1" customHeight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t="14.5" hidden="1" customHeight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t="14.5" hidden="1" customHeight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t="14.5" hidden="1" customHeight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t="14.5" hidden="1" customHeight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t="14.5" hidden="1" customHeight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t="14.5" hidden="1" customHeight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t="14.5" hidden="1" customHeight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t="14.5" hidden="1" customHeight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t="14.5" hidden="1" customHeight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t="14.5" hidden="1" customHeight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t="14.5" hidden="1" customHeight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t="14.5" hidden="1" customHeight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t="14.5" hidden="1" customHeight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t="14.5" hidden="1" customHeight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t="14.5" hidden="1" customHeight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t="14.5" hidden="1" customHeight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t="14.5" hidden="1" customHeight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t="14.5" hidden="1" customHeight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t="14.5" hidden="1" customHeight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t="14.5" hidden="1" customHeight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t="14.5" hidden="1" customHeight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t="14.5" hidden="1" customHeight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t="14.5" hidden="1" customHeight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t="14.5" hidden="1" customHeight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t="14.5" hidden="1" customHeight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t="14.5" hidden="1" customHeight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t="14.5" hidden="1" customHeight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t="14.5" hidden="1" customHeight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t="14.5" hidden="1" customHeight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t="14.5" hidden="1" customHeight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t="14.5" hidden="1" customHeight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t="14.5" hidden="1" customHeight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t="14.5" hidden="1" customHeight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t="14.5" hidden="1" customHeight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t="14.5" hidden="1" customHeight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t="14.5" hidden="1" customHeight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t="14.5" hidden="1" customHeight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t="14.5" hidden="1" customHeight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t="14.5" hidden="1" customHeight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t="14.5" hidden="1" customHeight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t="14.5" hidden="1" customHeight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t="14.5" hidden="1" customHeight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t="14.5" hidden="1" customHeight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t="14.5" hidden="1" customHeight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t="14.5" hidden="1" customHeight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t="14.5" hidden="1" customHeight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t="14.5" hidden="1" customHeight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t="14.5" hidden="1" customHeight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t="14.5" hidden="1" customHeight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t="14.5" hidden="1" customHeight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t="14.5" hidden="1" customHeight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t="14.5" hidden="1" customHeight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t="14.5" hidden="1" customHeight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t="14.5" hidden="1" customHeight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t="14.5" hidden="1" customHeight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t="14.5" hidden="1" customHeight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t="14.5" hidden="1" customHeight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t="14.5" hidden="1" customHeight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t="14.5" hidden="1" customHeight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t="14.5" hidden="1" customHeight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t="14.5" hidden="1" customHeight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t="14.5" hidden="1" customHeight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t="14.5" hidden="1" customHeight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t="14.5" hidden="1" customHeight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t="14.5" hidden="1" customHeight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t="14.5" hidden="1" customHeight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t="14.5" hidden="1" customHeight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t="14.5" hidden="1" customHeight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t="14.5" hidden="1" customHeight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t="14.5" hidden="1" customHeight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t="14.5" hidden="1" customHeight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t="14.5" hidden="1" customHeight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t="14.5" hidden="1" customHeight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t="14.5" hidden="1" customHeight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t="14.5" hidden="1" customHeight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t="14.5" hidden="1" customHeight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t="14.5" hidden="1" customHeight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t="14.5" hidden="1" customHeight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t="14.5" hidden="1" customHeight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t="14.5" hidden="1" customHeight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t="14.5" hidden="1" customHeight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t="14.5" hidden="1" customHeight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t="14.5" hidden="1" customHeight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t="14.5" hidden="1" customHeight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t="14.5" hidden="1" customHeight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t="14.5" hidden="1" customHeight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t="14.5" hidden="1" customHeight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t="14.5" hidden="1" customHeight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t="14.5" hidden="1" customHeight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t="14.5" hidden="1" customHeight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t="14.5" hidden="1" customHeight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t="14.5" hidden="1" customHeight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t="14.5" hidden="1" customHeight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t="14.5" hidden="1" customHeight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t="14.5" hidden="1" customHeight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t="14.5" hidden="1" customHeight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t="14.5" hidden="1" customHeight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t="14.5" hidden="1" customHeight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t="14.5" hidden="1" customHeight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t="14.5" hidden="1" customHeight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t="14.5" hidden="1" customHeight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t="14.5" hidden="1" customHeight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t="14.5" hidden="1" customHeight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t="14.5" hidden="1" customHeight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t="14.5" hidden="1" customHeight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t="14.5" hidden="1" customHeight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t="14.5" hidden="1" customHeight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t="14.5" hidden="1" customHeight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t="14.5" hidden="1" customHeight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t="14.5" hidden="1" customHeight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t="14.5" hidden="1" customHeight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t="14.5" hidden="1" customHeight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t="14.5" hidden="1" customHeight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t="14.5" hidden="1" customHeight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t="14.5" hidden="1" customHeight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t="14.5" hidden="1" customHeight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t="14.5" hidden="1" customHeight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t="14.5" hidden="1" customHeight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t="14.5" hidden="1" customHeight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t="14.5" hidden="1" customHeight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t="14.5" hidden="1" customHeight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t="14.5" hidden="1" customHeight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t="14.5" hidden="1" customHeight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t="14.5" hidden="1" customHeight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t="14.5" hidden="1" customHeight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t="14.5" hidden="1" customHeight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t="14.5" hidden="1" customHeight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t="14.5" hidden="1" customHeight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t="14.5" hidden="1" customHeight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t="14.5" hidden="1" customHeight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t="14.5" hidden="1" customHeight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t="14.5" hidden="1" customHeight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t="14.5" hidden="1" customHeight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t="14.5" hidden="1" customHeight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t="14.5" hidden="1" customHeight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t="14.5" hidden="1" customHeight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t="14.5" hidden="1" customHeight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t="14.5" hidden="1" customHeight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t="14.5" hidden="1" customHeight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t="14.5" hidden="1" customHeight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t="14.5" hidden="1" customHeight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t="14.5" hidden="1" customHeight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t="14.5" hidden="1" customHeight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t="14.5" hidden="1" customHeight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t="14.5" hidden="1" customHeight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t="14.5" hidden="1" customHeight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t="14.5" hidden="1" customHeight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t="14.5" hidden="1" customHeight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t="14.5" hidden="1" customHeight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t="14.5" hidden="1" customHeight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t="14.5" hidden="1" customHeight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t="14.5" hidden="1" customHeight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t="14.5" hidden="1" customHeight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t="14.5" hidden="1" customHeight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t="14.5" hidden="1" customHeight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t="14.5" hidden="1" customHeight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t="14.5" hidden="1" customHeight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t="14.5" hidden="1" customHeight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t="14.5" hidden="1" customHeight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t="14.5" hidden="1" customHeight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t="14.5" hidden="1" customHeight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t="14.5" hidden="1" customHeight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t="14.5" hidden="1" customHeight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t="14.5" hidden="1" customHeight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t="14.5" hidden="1" customHeight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t="14.5" hidden="1" customHeight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t="14.5" hidden="1" customHeight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t="14.5" hidden="1" customHeight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t="14.5" hidden="1" customHeight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t="14.5" hidden="1" customHeight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t="14.5" hidden="1" customHeight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t="14.5" hidden="1" customHeight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t="14.5" hidden="1" customHeight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t="14.5" hidden="1" customHeight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t="14.5" hidden="1" customHeight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t="14.5" hidden="1" customHeight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t="14.5" hidden="1" customHeight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t="14.5" hidden="1" customHeight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t="14.5" hidden="1" customHeight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t="14.5" hidden="1" customHeight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t="14.5" hidden="1" customHeight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t="14.5" hidden="1" customHeight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t="14.5" hidden="1" customHeight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t="14.5" hidden="1" customHeight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t="14.5" hidden="1" customHeight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t="14.5" hidden="1" customHeight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t="14.5" hidden="1" customHeight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t="14.5" hidden="1" customHeight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t="14.5" hidden="1" customHeight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t="14.5" hidden="1" customHeight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t="14.5" hidden="1" customHeight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t="14.5" hidden="1" customHeight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t="14.5" hidden="1" customHeight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t="14.5" hidden="1" customHeight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t="14.5" hidden="1" customHeight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t="14.5" hidden="1" customHeight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t="14.5" hidden="1" customHeight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t="14.5" hidden="1" customHeight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t="14.5" hidden="1" customHeight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t="14.5" hidden="1" customHeight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t="14.5" hidden="1" customHeight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t="14.5" hidden="1" customHeight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t="14.5" hidden="1" customHeight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t="14.5" hidden="1" customHeight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t="14.5" hidden="1" customHeight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t="14.5" hidden="1" customHeight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t="14.5" hidden="1" customHeight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t="14.5" hidden="1" customHeight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t="14.5" hidden="1" customHeight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t="14.5" hidden="1" customHeight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t="14.5" hidden="1" customHeight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t="14.5" hidden="1" customHeight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t="14.5" hidden="1" customHeight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t="14.5" hidden="1" customHeight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t="14.5" hidden="1" customHeight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t="14.5" hidden="1" customHeight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t="14.5" hidden="1" customHeight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t="14.5" hidden="1" customHeight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t="14.5" hidden="1" customHeight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t="14.5" hidden="1" customHeight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t="14.5" hidden="1" customHeight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t="14.5" hidden="1" customHeight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t="14.5" hidden="1" customHeight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t="14.5" hidden="1" customHeight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t="14.5" hidden="1" customHeight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t="14.5" hidden="1" customHeight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t="14.5" hidden="1" customHeight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t="14.5" hidden="1" customHeight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t="14.5" hidden="1" customHeight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t="14.5" hidden="1" customHeight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t="14.5" hidden="1" customHeight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t="14.5" hidden="1" customHeight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t="14.5" hidden="1" customHeight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t="14.5" hidden="1" customHeight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t="14.5" hidden="1" customHeight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t="14.5" hidden="1" customHeight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t="14.5" hidden="1" customHeight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t="14.5" hidden="1" customHeight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t="14.5" hidden="1" customHeight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t="14.5" hidden="1" customHeight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t="14.5" hidden="1" customHeight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t="14.5" hidden="1" customHeight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t="14.5" hidden="1" customHeight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t="14.5" hidden="1" customHeight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t="14.5" hidden="1" customHeight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t="14.5" hidden="1" customHeight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t="14.5" hidden="1" customHeight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t="14.5" hidden="1" customHeight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t="14.5" hidden="1" customHeight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t="14.5" hidden="1" customHeight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t="14.5" hidden="1" customHeight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t="14.5" hidden="1" customHeight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t="14.5" hidden="1" customHeight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t="14.5" hidden="1" customHeight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t="14.5" hidden="1" customHeight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t="14.5" hidden="1" customHeight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t="14.5" hidden="1" customHeight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t="14.5" hidden="1" customHeight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t="14.5" hidden="1" customHeight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t="14.5" hidden="1" customHeight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t="14.5" hidden="1" customHeight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t="14.5" hidden="1" customHeight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t="14.5" hidden="1" customHeight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t="14.5" hidden="1" customHeight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t="14.5" hidden="1" customHeight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t="14.5" hidden="1" customHeight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t="14.5" hidden="1" customHeight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t="14.5" hidden="1" customHeight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t="14.5" hidden="1" customHeight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t="14.5" hidden="1" customHeight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t="14.5" hidden="1" customHeight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t="14.5" hidden="1" customHeight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t="14.5" hidden="1" customHeight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t="14.5" hidden="1" customHeight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t="14.5" hidden="1" customHeight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t="14.5" hidden="1" customHeight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t="14.5" hidden="1" customHeight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t="14.5" hidden="1" customHeight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t="14.5" hidden="1" customHeight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t="14.5" hidden="1" customHeight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t="14.5" hidden="1" customHeight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t="14.5" hidden="1" customHeight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t="14.5" hidden="1" customHeight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t="14.5" hidden="1" customHeight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t="14.5" hidden="1" customHeight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t="14.5" hidden="1" customHeight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t="14.5" hidden="1" customHeight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t="14.5" hidden="1" customHeight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t="14.5" hidden="1" customHeight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t="14.5" hidden="1" customHeight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t="14.5" hidden="1" customHeight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t="14.5" hidden="1" customHeight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t="14.5" hidden="1" customHeight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t="14.5" hidden="1" customHeight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t="14.5" hidden="1" customHeight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t="14.5" hidden="1" customHeight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t="14.5" hidden="1" customHeight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t="14.5" hidden="1" customHeight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t="14.5" hidden="1" customHeight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t="14.5" hidden="1" customHeight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t="14.5" hidden="1" customHeight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t="14.5" hidden="1" customHeight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t="14.5" hidden="1" customHeight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t="14.5" hidden="1" customHeight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t="14.5" hidden="1" customHeight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t="14.5" hidden="1" customHeight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t="14.5" hidden="1" customHeight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t="14.5" hidden="1" customHeight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t="14.5" hidden="1" customHeight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t="14.5" hidden="1" customHeight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t="14.5" hidden="1" customHeight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t="14.5" hidden="1" customHeight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t="14.5" hidden="1" customHeight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t="14.5" hidden="1" customHeight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t="14.5" hidden="1" customHeight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t="14.5" hidden="1" customHeight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t="14.5" hidden="1" customHeight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t="14.5" hidden="1" customHeight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t="14.5" hidden="1" customHeight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t="14.5" hidden="1" customHeight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t="14.5" hidden="1" customHeight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t="14.5" hidden="1" customHeight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t="14.5" hidden="1" customHeight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t="14.5" hidden="1" customHeight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t="14.5" hidden="1" customHeight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t="14.5" hidden="1" customHeight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t="14.5" hidden="1" customHeight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t="14.5" hidden="1" customHeight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t="14.5" hidden="1" customHeight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t="14.5" hidden="1" customHeight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t="14.5" hidden="1" customHeight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t="14.5" hidden="1" customHeight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t="14.5" hidden="1" customHeight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t="14.5" hidden="1" customHeight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t="14.5" hidden="1" customHeight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t="14.5" hidden="1" customHeight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t="14.5" hidden="1" customHeight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t="14.5" hidden="1" customHeight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t="14.5" hidden="1" customHeight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t="14.5" hidden="1" customHeight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t="14.5" hidden="1" customHeight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t="14.5" hidden="1" customHeight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t="14.5" hidden="1" customHeight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t="14.5" hidden="1" customHeight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t="14.5" hidden="1" customHeight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t="14.5" hidden="1" customHeight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t="14.5" hidden="1" customHeight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t="14.5" hidden="1" customHeight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t="14.5" hidden="1" customHeight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t="14.5" hidden="1" customHeight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t="14.5" hidden="1" customHeight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t="14.5" hidden="1" customHeight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t="14.5" hidden="1" customHeight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t="14.5" hidden="1" customHeight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t="14.5" hidden="1" customHeight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t="14.5" hidden="1" customHeight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t="14.5" hidden="1" customHeight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t="14.5" hidden="1" customHeight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t="14.5" hidden="1" customHeight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t="14.5" hidden="1" customHeight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t="14.5" hidden="1" customHeight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t="14.5" hidden="1" customHeight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t="14.5" hidden="1" customHeight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t="14.5" hidden="1" customHeight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t="14.5" hidden="1" customHeight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t="14.5" hidden="1" customHeight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t="14.5" hidden="1" customHeight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t="14.5" hidden="1" customHeight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t="14.5" hidden="1" customHeight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t="14.5" hidden="1" customHeight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t="14.5" hidden="1" customHeight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t="14.5" hidden="1" customHeight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t="14.5" hidden="1" customHeight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t="14.5" hidden="1" customHeight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t="14.5" hidden="1" customHeight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t="14.5" hidden="1" customHeight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t="14.5" hidden="1" customHeight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t="14.5" hidden="1" customHeight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t="14.5" hidden="1" customHeight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t="14.5" hidden="1" customHeight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t="14.5" hidden="1" customHeight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t="14.5" hidden="1" customHeight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t="14.5" hidden="1" customHeight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t="14.5" hidden="1" customHeight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t="14.5" hidden="1" customHeight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t="14.5" hidden="1" customHeight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t="14.5" hidden="1" customHeight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t="14.5" hidden="1" customHeight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t="14.5" hidden="1" customHeight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t="14.5" hidden="1" customHeight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t="14.5" hidden="1" customHeight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t="14.5" hidden="1" customHeight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t="14.5" hidden="1" customHeight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t="14.5" hidden="1" customHeight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t="14.5" hidden="1" customHeight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t="14.5" hidden="1" customHeight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t="14.5" hidden="1" customHeight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t="14.5" hidden="1" customHeight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t="14.5" hidden="1" customHeight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t="14.5" hidden="1" customHeight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t="14.5" hidden="1" customHeight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t="14.5" hidden="1" customHeight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t="14.5" hidden="1" customHeight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t="14.5" hidden="1" customHeight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t="14.5" hidden="1" customHeight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t="14.5" hidden="1" customHeight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t="14.5" hidden="1" customHeight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t="14.5" hidden="1" customHeight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t="14.5" hidden="1" customHeight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t="14.5" hidden="1" customHeight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t="14.5" hidden="1" customHeight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t="14.5" hidden="1" customHeight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t="14.5" hidden="1" customHeight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t="14.5" hidden="1" customHeight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t="14.5" hidden="1" customHeight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t="14.5" hidden="1" customHeight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t="14.5" hidden="1" customHeight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t="14.5" hidden="1" customHeight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t="14.5" hidden="1" customHeight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t="14.5" hidden="1" customHeight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t="14.5" hidden="1" customHeight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t="14.5" hidden="1" customHeight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t="14.5" hidden="1" customHeight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t="14.5" hidden="1" customHeight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t="14.5" hidden="1" customHeight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t="14.5" hidden="1" customHeight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t="14.5" hidden="1" customHeight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t="14.5" hidden="1" customHeight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t="14.5" hidden="1" customHeight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t="14.5" hidden="1" customHeight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t="14.5" hidden="1" customHeight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t="14.5" hidden="1" customHeight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t="14.5" hidden="1" customHeight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t="14.5" hidden="1" customHeight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t="14.5" hidden="1" customHeight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t="14.5" hidden="1" customHeight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t="14.5" hidden="1" customHeight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t="14.5" hidden="1" customHeight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t="14.5" hidden="1" customHeight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t="14.5" hidden="1" customHeight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t="14.5" hidden="1" customHeight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t="14.5" hidden="1" customHeight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t="14.5" hidden="1" customHeight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t="14.5" hidden="1" customHeight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t="14.5" hidden="1" customHeight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t="14.5" hidden="1" customHeight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t="14.5" hidden="1" customHeight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t="14.5" hidden="1" customHeight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t="14.5" hidden="1" customHeight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t="14.5" hidden="1" customHeight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t="14.5" hidden="1" customHeight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t="14.5" hidden="1" customHeight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t="14.5" hidden="1" customHeight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t="14.5" hidden="1" customHeight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t="14.5" hidden="1" customHeight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t="14.5" hidden="1" customHeight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t="14.5" hidden="1" customHeight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t="14.5" hidden="1" customHeight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t="14.5" hidden="1" customHeight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t="14.5" hidden="1" customHeight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t="14.5" hidden="1" customHeight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t="14.5" hidden="1" customHeight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t="14.5" hidden="1" customHeight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t="14.5" hidden="1" customHeight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t="14.5" hidden="1" customHeight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t="14.5" hidden="1" customHeight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t="14.5" hidden="1" customHeight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t="14.5" hidden="1" customHeight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t="14.5" hidden="1" customHeight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t="14.5" hidden="1" customHeight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t="14.5" hidden="1" customHeight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t="14.5" hidden="1" customHeight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t="14.5" hidden="1" customHeight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t="14.5" hidden="1" customHeight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t="14.5" hidden="1" customHeight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t="14.5" hidden="1" customHeight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t="14.5" hidden="1" customHeight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t="14.5" hidden="1" customHeight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t="14.5" hidden="1" customHeight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t="14.5" hidden="1" customHeight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t="14.5" hidden="1" customHeight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t="14.5" hidden="1" customHeight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t="14.5" hidden="1" customHeight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t="14.5" hidden="1" customHeight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t="14.5" hidden="1" customHeight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t="14.5" hidden="1" customHeight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t="14.5" hidden="1" customHeight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t="14.5" hidden="1" customHeight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t="14.5" hidden="1" customHeight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t="14.5" hidden="1" customHeight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t="14.5" hidden="1" customHeight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t="14.5" hidden="1" customHeight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t="14.5" hidden="1" customHeight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t="14.5" hidden="1" customHeight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t="14.5" hidden="1" customHeight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t="14.5" hidden="1" customHeight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t="14.5" hidden="1" customHeight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t="14.5" hidden="1" customHeight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t="14.5" hidden="1" customHeight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t="14.5" hidden="1" customHeight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t="14.5" hidden="1" customHeight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t="14.5" hidden="1" customHeight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t="14.5" hidden="1" customHeight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t="14.5" hidden="1" customHeight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t="14.5" hidden="1" customHeight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t="14.5" hidden="1" customHeight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t="14.5" hidden="1" customHeight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t="14.5" hidden="1" customHeight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t="14.5" hidden="1" customHeight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t="14.5" hidden="1" customHeight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t="14.5" hidden="1" customHeight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t="14.5" hidden="1" customHeight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t="14.5" hidden="1" customHeight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t="14.5" hidden="1" customHeight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t="14.5" hidden="1" customHeight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t="14.5" hidden="1" customHeight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t="14.5" hidden="1" customHeight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t="14.5" hidden="1" customHeight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t="14.5" hidden="1" customHeight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t="14.5" hidden="1" customHeight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t="14.5" hidden="1" customHeight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t="14.5" hidden="1" customHeight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t="14.5" hidden="1" customHeight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t="14.5" hidden="1" customHeight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t="14.5" hidden="1" customHeight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t="14.5" hidden="1" customHeight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t="14.5" hidden="1" customHeight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t="14.5" hidden="1" customHeight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t="14.5" hidden="1" customHeight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t="14.5" hidden="1" customHeight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t="14.5" hidden="1" customHeight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t="14.5" hidden="1" customHeight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t="14.5" hidden="1" customHeight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t="14.5" hidden="1" customHeight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t="14.5" hidden="1" customHeight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t="14.5" hidden="1" customHeight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t="14.5" hidden="1" customHeight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t="14.5" hidden="1" customHeight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t="14.5" hidden="1" customHeight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t="14.5" hidden="1" customHeight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t="14.5" hidden="1" customHeight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t="14.5" hidden="1" customHeight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t="14.5" hidden="1" customHeight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t="14.5" hidden="1" customHeight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t="14.5" hidden="1" customHeight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t="14.5" hidden="1" customHeight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t="14.5" hidden="1" customHeight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t="14.5" hidden="1" customHeight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t="14.5" hidden="1" customHeight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t="14.5" hidden="1" customHeight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t="14.5" hidden="1" customHeight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t="14.5" hidden="1" customHeight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t="14.5" hidden="1" customHeight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t="14.5" hidden="1" customHeight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t="14.5" hidden="1" customHeight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t="14.5" hidden="1" customHeight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t="14.5" hidden="1" customHeight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t="14.5" hidden="1" customHeight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t="14.5" hidden="1" customHeight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t="14.5" hidden="1" customHeight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t="14.5" hidden="1" customHeight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t="14.5" hidden="1" customHeight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t="14.5" hidden="1" customHeight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t="14.5" hidden="1" customHeight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t="14.5" hidden="1" customHeight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t="14.5" hidden="1" customHeight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t="14.5" hidden="1" customHeight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t="14.5" hidden="1" customHeight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t="14.5" hidden="1" customHeight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t="14.5" hidden="1" customHeight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t="14.5" hidden="1" customHeight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t="14.5" hidden="1" customHeight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t="14.5" hidden="1" customHeight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t="14.5" hidden="1" customHeight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t="14.5" hidden="1" customHeight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t="14.5" hidden="1" customHeight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t="14.5" hidden="1" customHeight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t="14.5" hidden="1" customHeight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t="14.5" hidden="1" customHeight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t="14.5" hidden="1" customHeight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t="14.5" hidden="1" customHeight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t="14.5" hidden="1" customHeight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t="14.5" hidden="1" customHeight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t="14.5" hidden="1" customHeight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t="14.5" hidden="1" customHeight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t="14.5" hidden="1" customHeight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t="14.5" hidden="1" customHeight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t="14.5" hidden="1" customHeight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t="14.5" hidden="1" customHeight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t="14.5" hidden="1" customHeight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t="14.5" hidden="1" customHeight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t="14.5" hidden="1" customHeight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t="14.5" hidden="1" customHeight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t="14.5" hidden="1" customHeight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t="14.5" hidden="1" customHeight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t="14.5" hidden="1" customHeight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t="14.5" hidden="1" customHeight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t="14.5" hidden="1" customHeight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t="14.5" hidden="1" customHeight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t="14.5" hidden="1" customHeight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t="14.5" hidden="1" customHeight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t="14.5" hidden="1" customHeight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t="14.5" hidden="1" customHeight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t="14.5" hidden="1" customHeight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t="14.5" hidden="1" customHeight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t="14.5" hidden="1" customHeight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t="14.5" hidden="1" customHeight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t="14.5" hidden="1" customHeight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t="14.5" hidden="1" customHeight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t="14.5" hidden="1" customHeight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t="14.5" hidden="1" customHeight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t="14.5" hidden="1" customHeight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t="14.5" hidden="1" customHeight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t="14.5" hidden="1" customHeight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t="14.5" hidden="1" customHeight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t="14.5" hidden="1" customHeight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t="14.5" hidden="1" customHeight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t="14.5" hidden="1" customHeight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t="14.5" hidden="1" customHeight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t="14.5" hidden="1" customHeight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t="14.5" hidden="1" customHeight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t="14.5" hidden="1" customHeight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t="14.5" hidden="1" customHeight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t="14.5" hidden="1" customHeight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t="14.5" hidden="1" customHeight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t="14.5" hidden="1" customHeight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t="14.5" hidden="1" customHeight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t="14.5" hidden="1" customHeight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t="14.5" hidden="1" customHeight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t="14.5" hidden="1" customHeight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t="14.5" hidden="1" customHeight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t="14.5" hidden="1" customHeight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t="14.5" hidden="1" customHeight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t="14.5" hidden="1" customHeight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t="14.5" hidden="1" customHeight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t="14.5" hidden="1" customHeight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t="14.5" hidden="1" customHeight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t="14.5" hidden="1" customHeight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t="14.5" hidden="1" customHeight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t="14.5" hidden="1" customHeight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t="14.5" hidden="1" customHeight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t="14.5" hidden="1" customHeight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t="14.5" hidden="1" customHeight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t="14.5" hidden="1" customHeight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t="14.5" hidden="1" customHeight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t="14.5" hidden="1" customHeight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t="14.5" hidden="1" customHeight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t="14.5" hidden="1" customHeight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t="14.5" hidden="1" customHeight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t="14.5" hidden="1" customHeight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t="14.5" hidden="1" customHeight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t="14.5" hidden="1" customHeight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t="14.5" hidden="1" customHeight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t="14.5" hidden="1" customHeight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t="14.5" hidden="1" customHeight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t="14.5" hidden="1" customHeight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t="14.5" hidden="1" customHeight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t="14.5" hidden="1" customHeight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t="14.5" hidden="1" customHeight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t="14.5" hidden="1" customHeight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t="14.5" hidden="1" customHeight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t="14.5" hidden="1" customHeight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t="14.5" hidden="1" customHeight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t="14.5" hidden="1" customHeight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t="14.5" hidden="1" customHeight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t="14.5" hidden="1" customHeight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t="14.5" hidden="1" customHeight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t="14.5" hidden="1" customHeight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t="14.5" hidden="1" customHeight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t="14.5" hidden="1" customHeight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t="14.5" hidden="1" customHeight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t="14.5" hidden="1" customHeight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t="14.5" hidden="1" customHeight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t="14.5" hidden="1" customHeight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t="14.5" hidden="1" customHeight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t="14.5" hidden="1" customHeight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t="14.5" hidden="1" customHeight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t="14.5" hidden="1" customHeight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t="14.5" hidden="1" customHeight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t="14.5" hidden="1" customHeight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t="14.5" hidden="1" customHeight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t="14.5" hidden="1" customHeight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t="14.5" hidden="1" customHeight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t="14.5" hidden="1" customHeight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t="14.5" hidden="1" customHeight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t="14.5" hidden="1" customHeight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t="14.5" hidden="1" customHeight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t="14.5" hidden="1" customHeight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t="14.5" hidden="1" customHeight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t="14.5" hidden="1" customHeight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t="14.5" hidden="1" customHeight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t="14.5" hidden="1" customHeight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t="14.5" hidden="1" customHeight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t="14.5" hidden="1" customHeight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t="14.5" hidden="1" customHeight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t="14.5" hidden="1" customHeight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t="14.5" hidden="1" customHeight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t="14.5" hidden="1" customHeight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t="14.5" hidden="1" customHeight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t="14.5" hidden="1" customHeight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t="14.5" hidden="1" customHeight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t="14.5" hidden="1" customHeight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t="14.5" hidden="1" customHeight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t="14.5" hidden="1" customHeight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t="14.5" hidden="1" customHeight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t="14.5" hidden="1" customHeight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t="14.5" hidden="1" customHeight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t="14.5" hidden="1" customHeight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t="14.5" hidden="1" customHeight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t="14.5" hidden="1" customHeight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t="14.5" hidden="1" customHeight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t="14.5" hidden="1" customHeight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t="14.5" hidden="1" customHeight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t="14.5" hidden="1" customHeight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t="14.5" hidden="1" customHeight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t="14.5" hidden="1" customHeight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t="14.5" hidden="1" customHeight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t="14.5" hidden="1" customHeight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t="14.5" hidden="1" customHeight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t="14.5" hidden="1" customHeight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t="14.5" hidden="1" customHeight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t="14.5" hidden="1" customHeight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t="14.5" hidden="1" customHeight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t="14.5" hidden="1" customHeight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t="14.5" hidden="1" customHeight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t="14.5" hidden="1" customHeight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t="14.5" hidden="1" customHeight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t="14.5" hidden="1" customHeight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t="14.5" hidden="1" customHeight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t="14.5" hidden="1" customHeight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t="14.5" hidden="1" customHeight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t="14.5" hidden="1" customHeight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t="14.5" hidden="1" customHeight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t="14.5" hidden="1" customHeight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t="14.5" hidden="1" customHeight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t="14.5" hidden="1" customHeight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t="14.5" hidden="1" customHeight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t="14.5" hidden="1" customHeight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t="14.5" hidden="1" customHeight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t="14.5" hidden="1" customHeight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t="14.5" hidden="1" customHeight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t="14.5" hidden="1" customHeight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t="14.5" hidden="1" customHeight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t="14.5" hidden="1" customHeight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t="14.5" hidden="1" customHeight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t="14.5" hidden="1" customHeight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t="14.5" hidden="1" customHeight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t="14.5" hidden="1" customHeight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t="14.5" hidden="1" customHeight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t="14.5" hidden="1" customHeight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t="14.5" hidden="1" customHeight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t="14.5" hidden="1" customHeight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t="14.5" hidden="1" customHeight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t="14.5" hidden="1" customHeight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t="14.5" hidden="1" customHeight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t="14.5" hidden="1" customHeight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t="14.5" hidden="1" customHeight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t="14.5" hidden="1" customHeight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t="14.5" hidden="1" customHeight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t="14.5" hidden="1" customHeight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t="14.5" hidden="1" customHeight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t="14.5" hidden="1" customHeight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t="14.5" hidden="1" customHeight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t="14.5" hidden="1" customHeight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t="14.5" hidden="1" customHeight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t="14.5" hidden="1" customHeight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t="14.5" hidden="1" customHeight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t="14.5" hidden="1" customHeight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t="14.5" hidden="1" customHeight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t="14.5" hidden="1" customHeight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t="14.5" hidden="1" customHeight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t="14.5" hidden="1" customHeight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t="14.5" hidden="1" customHeight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t="14.5" hidden="1" customHeight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t="14.5" hidden="1" customHeight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t="14.5" hidden="1" customHeight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t="14.5" hidden="1" customHeight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t="14.5" hidden="1" customHeight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t="14.5" hidden="1" customHeight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t="14.5" hidden="1" customHeight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t="14.5" hidden="1" customHeight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t="14.5" hidden="1" customHeight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t="14.5" hidden="1" customHeight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t="14.5" hidden="1" customHeight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t="14.5" hidden="1" customHeight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t="14.5" hidden="1" customHeight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t="14.5" hidden="1" customHeight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t="14.5" hidden="1" customHeight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t="14.5" hidden="1" customHeight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t="14.5" hidden="1" customHeight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t="14.5" hidden="1" customHeight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t="14.5" hidden="1" customHeight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t="14.5" hidden="1" customHeight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t="14.5" hidden="1" customHeight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t="14.5" hidden="1" customHeight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t="14.5" hidden="1" customHeight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t="14.5" hidden="1" customHeight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t="14.5" hidden="1" customHeight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t="14.5" hidden="1" customHeight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t="14.5" hidden="1" customHeight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t="14.5" hidden="1" customHeight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t="14.5" hidden="1" customHeight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t="14.5" hidden="1" customHeight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t="14.5" hidden="1" customHeight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t="14.5" hidden="1" customHeight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t="14.5" hidden="1" customHeight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t="14.5" hidden="1" customHeight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t="14.5" hidden="1" customHeight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t="14.5" hidden="1" customHeight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t="14.5" hidden="1" customHeight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t="14.5" hidden="1" customHeight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t="14.5" hidden="1" customHeight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t="14.5" hidden="1" customHeight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t="14.5" hidden="1" customHeight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t="14.5" hidden="1" customHeight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t="14.5" hidden="1" customHeight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t="14.5" hidden="1" customHeight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t="14.5" hidden="1" customHeight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t="14.5" hidden="1" customHeight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t="14.5" hidden="1" customHeight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t="14.5" hidden="1" customHeight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t="14.5" hidden="1" customHeight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t="14.5" hidden="1" customHeight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t="14.5" hidden="1" customHeight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t="14.5" hidden="1" customHeight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t="14.5" hidden="1" customHeight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t="14.5" hidden="1" customHeight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t="14.5" hidden="1" customHeight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t="14.5" hidden="1" customHeight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t="14.5" hidden="1" customHeight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t="14.5" hidden="1" customHeight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t="14.5" hidden="1" customHeight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t="14.5" hidden="1" customHeight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t="14.5" hidden="1" customHeight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t="14.5" hidden="1" customHeight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t="14.5" hidden="1" customHeight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t="14.5" hidden="1" customHeight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t="14.5" hidden="1" customHeight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t="14.5" hidden="1" customHeight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t="14.5" hidden="1" customHeight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t="14.5" hidden="1" customHeight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t="14.5" hidden="1" customHeight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t="14.5" hidden="1" customHeight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t="14.5" hidden="1" customHeight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t="14.5" hidden="1" customHeight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t="14.5" hidden="1" customHeight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t="14.5" hidden="1" customHeight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t="14.5" hidden="1" customHeight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t="14.5" hidden="1" customHeight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t="14.5" hidden="1" customHeight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t="14.5" hidden="1" customHeight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t="14.5" hidden="1" customHeight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t="14.5" hidden="1" customHeight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t="14.5" hidden="1" customHeight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t="14.5" hidden="1" customHeight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t="14.5" hidden="1" customHeight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t="14.5" hidden="1" customHeight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t="14.5" hidden="1" customHeight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t="14.5" hidden="1" customHeight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t="14.5" hidden="1" customHeight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t="14.5" hidden="1" customHeight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t="14.5" hidden="1" customHeight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t="14.5" hidden="1" customHeight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t="14.5" hidden="1" customHeight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t="14.5" hidden="1" customHeight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t="14.5" hidden="1" customHeight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t="14.5" hidden="1" customHeight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t="14.5" hidden="1" customHeight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t="14.5" hidden="1" customHeight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t="14.5" hidden="1" customHeight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t="14.5" hidden="1" customHeight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t="14.5" hidden="1" customHeight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t="14.5" hidden="1" customHeight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t="14.5" hidden="1" customHeight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t="14.5" hidden="1" customHeight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t="14.5" hidden="1" customHeight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t="14.5" hidden="1" customHeight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t="14.5" hidden="1" customHeight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t="14.5" hidden="1" customHeight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t="14.5" hidden="1" customHeight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t="14.5" hidden="1" customHeight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t="14.5" hidden="1" customHeight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t="14.5" hidden="1" customHeight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t="14.5" hidden="1" customHeight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t="14.5" hidden="1" customHeight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t="14.5" hidden="1" customHeight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t="14.5" hidden="1" customHeight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t="14.5" hidden="1" customHeight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t="14.5" hidden="1" customHeight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t="14.5" hidden="1" customHeight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t="14.5" hidden="1" customHeight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t="14.5" hidden="1" customHeight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t="14.5" hidden="1" customHeight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t="14.5" hidden="1" customHeight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t="14.5" hidden="1" customHeight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t="14.5" hidden="1" customHeight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t="14.5" hidden="1" customHeight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t="14.5" hidden="1" customHeight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t="14.5" hidden="1" customHeight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t="14.5" hidden="1" customHeight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t="14.5" hidden="1" customHeight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t="14.5" hidden="1" customHeight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t="14.5" hidden="1" customHeight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t="14.5" hidden="1" customHeight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t="14.5" hidden="1" customHeight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t="14.5" hidden="1" customHeight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t="14.5" hidden="1" customHeight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t="14.5" hidden="1" customHeight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t="14.5" hidden="1" customHeight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t="14.5" hidden="1" customHeight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t="14.5" hidden="1" customHeight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t="14.5" hidden="1" customHeight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t="14.5" hidden="1" customHeight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t="14.5" hidden="1" customHeight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t="14.5" hidden="1" customHeight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t="14.5" hidden="1" customHeight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t="14.5" hidden="1" customHeight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t="14.5" hidden="1" customHeight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t="14.5" hidden="1" customHeight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t="14.5" hidden="1" customHeight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t="14.5" hidden="1" customHeight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t="14.5" hidden="1" customHeight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t="14.5" hidden="1" customHeight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t="14.5" hidden="1" customHeight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t="14.5" hidden="1" customHeight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t="14.5" hidden="1" customHeight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t="14.5" hidden="1" customHeight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t="14.5" hidden="1" customHeight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t="14.5" hidden="1" customHeight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t="14.5" hidden="1" customHeight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t="14.5" hidden="1" customHeight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t="14.5" hidden="1" customHeight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t="14.5" hidden="1" customHeight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t="14.5" hidden="1" customHeight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t="14.5" hidden="1" customHeight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t="14.5" hidden="1" customHeight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t="14.5" hidden="1" customHeight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t="14.5" hidden="1" customHeight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t="14.5" hidden="1" customHeight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t="14.5" hidden="1" customHeight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t="14.5" hidden="1" customHeight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t="14.5" hidden="1" customHeight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t="14.5" hidden="1" customHeight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t="14.5" hidden="1" customHeight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t="14.5" hidden="1" customHeight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t="14.5" hidden="1" customHeight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t="14.5" hidden="1" customHeight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t="14.5" hidden="1" customHeight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t="14.5" hidden="1" customHeight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t="14.5" hidden="1" customHeight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t="14.5" hidden="1" customHeight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t="14.5" hidden="1" customHeight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t="14.5" hidden="1" customHeight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t="14.5" hidden="1" customHeight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t="14.5" hidden="1" customHeight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t="14.5" hidden="1" customHeight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t="14.5" hidden="1" customHeight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t="14.5" hidden="1" customHeight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t="14.5" hidden="1" customHeight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t="14.5" hidden="1" customHeight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t="14.5" hidden="1" customHeight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t="14.5" hidden="1" customHeight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t="14.5" hidden="1" customHeight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t="14.5" hidden="1" customHeight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t="14.5" hidden="1" customHeight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t="14.5" hidden="1" customHeight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t="14.5" hidden="1" customHeight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t="14.5" hidden="1" customHeight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t="14.5" hidden="1" customHeight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t="14.5" hidden="1" customHeight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t="14.5" hidden="1" customHeight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t="14.5" hidden="1" customHeight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t="14.5" hidden="1" customHeight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t="14.5" hidden="1" customHeight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t="14.5" hidden="1" customHeight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t="14.5" hidden="1" customHeight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t="14.5" hidden="1" customHeight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t="14.5" hidden="1" customHeight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t="14.5" hidden="1" customHeight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t="14.5" hidden="1" customHeight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t="14.5" hidden="1" customHeight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t="14.5" hidden="1" customHeight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t="14.5" hidden="1" customHeight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t="14.5" hidden="1" customHeight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t="14.5" hidden="1" customHeight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t="14.5" hidden="1" customHeight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t="14.5" hidden="1" customHeight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t="14.5" hidden="1" customHeight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t="14.5" hidden="1" customHeight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t="14.5" hidden="1" customHeight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t="14.5" hidden="1" customHeight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t="14.5" hidden="1" customHeight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t="14.5" hidden="1" customHeight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t="14.5" hidden="1" customHeight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t="14.5" hidden="1" customHeight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t="14.5" hidden="1" customHeight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t="14.5" hidden="1" customHeight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t="14.5" hidden="1" customHeight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t="14.5" hidden="1" customHeight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t="14.5" hidden="1" customHeight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t="14.5" hidden="1" customHeight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t="14.5" hidden="1" customHeight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t="14.5" hidden="1" customHeight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t="14.5" hidden="1" customHeight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t="14.5" hidden="1" customHeight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t="14.5" hidden="1" customHeight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t="14.5" hidden="1" customHeight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t="14.5" hidden="1" customHeight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t="14.5" hidden="1" customHeight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t="14.5" hidden="1" customHeight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t="14.5" hidden="1" customHeight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t="14.5" hidden="1" customHeight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t="14.5" hidden="1" customHeight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t="14.5" hidden="1" customHeight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t="14.5" hidden="1" customHeight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t="14.5" hidden="1" customHeight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t="14.5" hidden="1" customHeight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t="14.5" hidden="1" customHeight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t="14.5" hidden="1" customHeight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t="14.5" hidden="1" customHeight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t="14.5" hidden="1" customHeight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t="14.5" hidden="1" customHeight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t="14.5" hidden="1" customHeight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t="14.5" hidden="1" customHeight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t="14.5" hidden="1" customHeight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t="14.5" hidden="1" customHeight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t="14.5" hidden="1" customHeight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t="14.5" hidden="1" customHeight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t="14.5" hidden="1" customHeight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t="14.5" hidden="1" customHeight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t="14.5" hidden="1" customHeight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t="14.5" hidden="1" customHeight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t="14.5" hidden="1" customHeight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t="14.5" hidden="1" customHeight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t="14.5" hidden="1" customHeight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t="14.5" hidden="1" customHeight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t="14.5" hidden="1" customHeight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t="14.5" hidden="1" customHeight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t="14.5" hidden="1" customHeight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t="14.5" hidden="1" customHeight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t="14.5" hidden="1" customHeight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t="14.5" hidden="1" customHeight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t="14.5" hidden="1" customHeight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t="14.5" hidden="1" customHeight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t="14.5" hidden="1" customHeight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t="14.5" hidden="1" customHeight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t="14.5" hidden="1" customHeight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t="14.5" hidden="1" customHeight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t="14.5" hidden="1" customHeight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t="14.5" hidden="1" customHeight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t="14.5" hidden="1" customHeight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t="14.5" hidden="1" customHeight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t="14.5" hidden="1" customHeight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t="14.5" hidden="1" customHeight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t="14.5" hidden="1" customHeight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t="14.5" hidden="1" customHeight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t="14.5" hidden="1" customHeight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t="14.5" hidden="1" customHeight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t="14.5" hidden="1" customHeight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t="14.5" hidden="1" customHeight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t="14.5" hidden="1" customHeight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t="14.5" hidden="1" customHeight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t="14.5" hidden="1" customHeight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t="14.5" hidden="1" customHeight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t="14.5" hidden="1" customHeight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t="14.5" hidden="1" customHeight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t="14.5" hidden="1" customHeight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t="14.5" hidden="1" customHeight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t="14.5" hidden="1" customHeight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t="14.5" hidden="1" customHeight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t="14.5" hidden="1" customHeight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t="14.5" hidden="1" customHeight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t="14.5" hidden="1" customHeight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t="14.5" hidden="1" customHeight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t="14.5" hidden="1" customHeight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t="14.5" hidden="1" customHeight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t="14.5" hidden="1" customHeight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t="14.5" hidden="1" customHeight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t="14.5" hidden="1" customHeight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t="14.5" hidden="1" customHeight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t="14.5" hidden="1" customHeight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t="14.5" hidden="1" customHeight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t="14.5" hidden="1" customHeight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t="14.5" hidden="1" customHeight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t="14.5" hidden="1" customHeight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t="14.5" hidden="1" customHeight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t="14.5" hidden="1" customHeight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t="14.5" hidden="1" customHeight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t="14.5" hidden="1" customHeight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t="14.5" hidden="1" customHeight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t="14.5" hidden="1" customHeight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t="14.5" hidden="1" customHeight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t="14.5" hidden="1" customHeight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t="14.5" hidden="1" customHeight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t="14.5" hidden="1" customHeight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t="14.5" hidden="1" customHeight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t="14.5" hidden="1" customHeight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t="14.5" hidden="1" customHeight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t="14.5" hidden="1" customHeight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t="14.5" hidden="1" customHeight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t="14.5" hidden="1" customHeight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t="14.5" hidden="1" customHeight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t="14.5" hidden="1" customHeight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t="14.5" hidden="1" customHeight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t="14.5" hidden="1" customHeight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t="14.5" hidden="1" customHeight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t="14.5" hidden="1" customHeight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t="14.5" hidden="1" customHeight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t="14.5" hidden="1" customHeight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t="14.5" hidden="1" customHeight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t="14.5" hidden="1" customHeight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t="14.5" hidden="1" customHeight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t="14.5" hidden="1" customHeight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t="14.5" hidden="1" customHeight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t="14.5" hidden="1" customHeight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t="14.5" hidden="1" customHeight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t="14.5" hidden="1" customHeight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t="14.5" hidden="1" customHeight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t="14.5" hidden="1" customHeight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t="14.5" hidden="1" customHeight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t="14.5" hidden="1" customHeight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t="14.5" hidden="1" customHeight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t="14.5" hidden="1" customHeight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t="14.5" hidden="1" customHeight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t="14.5" hidden="1" customHeight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t="14.5" hidden="1" customHeight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t="14.5" hidden="1" customHeight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t="14.5" hidden="1" customHeight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t="14.5" hidden="1" customHeight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t="14.5" hidden="1" customHeight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t="14.5" hidden="1" customHeight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t="14.5" hidden="1" customHeight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t="14.5" hidden="1" customHeight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t="14.5" hidden="1" customHeight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t="14.5" hidden="1" customHeight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t="14.5" hidden="1" customHeight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t="14.5" hidden="1" customHeight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t="14.5" hidden="1" customHeight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t="14.5" hidden="1" customHeight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t="14.5" hidden="1" customHeight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t="14.5" hidden="1" customHeight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t="14.5" hidden="1" customHeight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t="14.5" hidden="1" customHeight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t="14.5" hidden="1" customHeight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t="14.5" hidden="1" customHeight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t="14.5" hidden="1" customHeight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t="14.5" hidden="1" customHeight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t="14.5" hidden="1" customHeight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t="14.5" hidden="1" customHeight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t="14.5" hidden="1" customHeight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t="14.5" hidden="1" customHeight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t="14.5" hidden="1" customHeight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t="14.5" hidden="1" customHeight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t="14.5" hidden="1" customHeight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t="14.5" hidden="1" customHeight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t="14.5" hidden="1" customHeight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t="14.5" hidden="1" customHeight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t="14.5" hidden="1" customHeight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t="14.5" hidden="1" customHeight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t="14.5" hidden="1" customHeight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t="14.5" hidden="1" customHeight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t="14.5" hidden="1" customHeight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t="14.5" hidden="1" customHeight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t="14.5" hidden="1" customHeight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t="14.5" hidden="1" customHeight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t="14.5" hidden="1" customHeight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t="14.5" hidden="1" customHeight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t="14.5" hidden="1" customHeight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t="14.5" hidden="1" customHeight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t="14.5" hidden="1" customHeight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t="14.5" hidden="1" customHeight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t="14.5" hidden="1" customHeight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t="14.5" hidden="1" customHeight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t="14.5" hidden="1" customHeight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t="14.5" hidden="1" customHeight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t="14.5" hidden="1" customHeight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t="14.5" hidden="1" customHeight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t="14.5" hidden="1" customHeight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t="14.5" hidden="1" customHeight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t="14.5" hidden="1" customHeight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t="14.5" hidden="1" customHeight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t="14.5" hidden="1" customHeight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t="14.5" hidden="1" customHeight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t="14.5" hidden="1" customHeight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t="14.5" hidden="1" customHeight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t="14.5" hidden="1" customHeight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t="14.5" hidden="1" customHeight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t="14.5" hidden="1" customHeight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t="14.5" hidden="1" customHeight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t="14.5" hidden="1" customHeight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t="14.5" hidden="1" customHeight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t="14.5" hidden="1" customHeight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t="14.5" hidden="1" customHeight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t="14.5" hidden="1" customHeight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t="14.5" hidden="1" customHeight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t="14.5" hidden="1" customHeight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t="14.5" hidden="1" customHeight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t="14.5" hidden="1" customHeight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t="14.5" hidden="1" customHeight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t="14.5" hidden="1" customHeight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t="14.5" hidden="1" customHeight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t="14.5" hidden="1" customHeight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t="14.5" hidden="1" customHeight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t="14.5" hidden="1" customHeight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t="14.5" hidden="1" customHeight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t="14.5" hidden="1" customHeight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t="14.5" hidden="1" customHeight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t="14.5" hidden="1" customHeight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t="14.5" hidden="1" customHeight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t="14.5" hidden="1" customHeight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t="14.5" hidden="1" customHeight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t="14.5" hidden="1" customHeight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t="14.5" hidden="1" customHeight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t="14.5" hidden="1" customHeight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t="14.5" hidden="1" customHeight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t="14.5" hidden="1" customHeight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t="14.5" hidden="1" customHeight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t="14.5" hidden="1" customHeight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t="14.5" hidden="1" customHeight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t="14.5" hidden="1" customHeight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t="14.5" hidden="1" customHeight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t="14.5" hidden="1" customHeight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t="14.5" hidden="1" customHeight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t="14.5" hidden="1" customHeight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t="14.5" hidden="1" customHeight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t="14.5" hidden="1" customHeight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t="14.5" hidden="1" customHeight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t="14.5" hidden="1" customHeight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t="14.5" hidden="1" customHeight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t="14.5" hidden="1" customHeight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t="14.5" hidden="1" customHeight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t="14.5" hidden="1" customHeight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t="14.5" hidden="1" customHeight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t="14.5" hidden="1" customHeight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t="14.5" hidden="1" customHeight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t="14.5" hidden="1" customHeight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t="14.5" hidden="1" customHeight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t="14.5" hidden="1" customHeight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t="14.5" hidden="1" customHeight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t="14.5" hidden="1" customHeight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t="14.5" hidden="1" customHeight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t="14.5" hidden="1" customHeight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t="14.5" hidden="1" customHeight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t="14.5" hidden="1" customHeight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t="14.5" hidden="1" customHeight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t="14.5" hidden="1" customHeight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t="14.5" hidden="1" customHeight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t="14.5" hidden="1" customHeight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t="14.5" hidden="1" customHeight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t="14.5" hidden="1" customHeight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t="14.5" hidden="1" customHeight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t="14.5" hidden="1" customHeight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t="14.5" hidden="1" customHeight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t="14.5" hidden="1" customHeight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t="14.5" hidden="1" customHeight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t="14.5" hidden="1" customHeight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t="14.5" hidden="1" customHeight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t="14.5" hidden="1" customHeight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t="14.5" hidden="1" customHeight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t="14.5" hidden="1" customHeight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t="14.5" hidden="1" customHeight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t="14.5" hidden="1" customHeight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t="14.5" hidden="1" customHeight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t="14.5" hidden="1" customHeight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t="14.5" hidden="1" customHeight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t="14.5" hidden="1" customHeight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t="14.5" hidden="1" customHeight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t="14.5" hidden="1" customHeight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t="14.5" hidden="1" customHeight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t="14.5" hidden="1" customHeight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t="14.5" hidden="1" customHeight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t="14.5" hidden="1" customHeight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t="14.5" hidden="1" customHeight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t="14.5" hidden="1" customHeight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t="14.5" hidden="1" customHeight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t="14.5" hidden="1" customHeight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t="14.5" hidden="1" customHeight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t="14.5" hidden="1" customHeight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t="14.5" hidden="1" customHeight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t="14.5" hidden="1" customHeight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t="14.5" hidden="1" customHeight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t="14.5" hidden="1" customHeight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t="14.5" hidden="1" customHeight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t="14.5" hidden="1" customHeight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t="14.5" hidden="1" customHeight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t="14.5" hidden="1" customHeight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t="14.5" hidden="1" customHeight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t="14.5" hidden="1" customHeight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t="14.5" hidden="1" customHeight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t="14.5" hidden="1" customHeight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t="14.5" hidden="1" customHeight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t="14.5" hidden="1" customHeight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t="14.5" hidden="1" customHeight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t="14.5" hidden="1" customHeight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t="14.5" hidden="1" customHeight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t="14.5" hidden="1" customHeight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t="14.5" hidden="1" customHeight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t="14.5" hidden="1" customHeight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t="14.5" hidden="1" customHeight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t="14.5" hidden="1" customHeight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t="14.5" hidden="1" customHeight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t="14.5" hidden="1" customHeight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t="14.5" hidden="1" customHeight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t="14.5" hidden="1" customHeight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t="14.5" hidden="1" customHeight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t="14.5" hidden="1" customHeight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t="14.5" hidden="1" customHeight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t="14.5" hidden="1" customHeight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t="14.5" hidden="1" customHeight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t="14.5" hidden="1" customHeight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t="14.5" hidden="1" customHeight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t="14.5" hidden="1" customHeight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t="14.5" hidden="1" customHeight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t="14.5" hidden="1" customHeight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t="14.5" hidden="1" customHeight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t="14.5" hidden="1" customHeight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t="14.5" hidden="1" customHeight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t="14.5" hidden="1" customHeight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t="14.5" hidden="1" customHeight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t="14.5" hidden="1" customHeight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t="14.5" hidden="1" customHeight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t="14.5" hidden="1" customHeight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t="14.5" hidden="1" customHeight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t="14.5" hidden="1" customHeight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t="14.5" hidden="1" customHeight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t="14.5" hidden="1" customHeight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t="14.5" hidden="1" customHeight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t="14.5" hidden="1" customHeight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t="14.5" hidden="1" customHeight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t="14.5" hidden="1" customHeight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t="14.5" hidden="1" customHeight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t="14.5" hidden="1" customHeight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t="14.5" hidden="1" customHeight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t="14.5" hidden="1" customHeight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t="14.5" hidden="1" customHeight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t="14.5" hidden="1" customHeight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t="14.5" hidden="1" customHeight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t="14.5" hidden="1" customHeight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t="14.5" hidden="1" customHeight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t="14.5" hidden="1" customHeight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t="14.5" hidden="1" customHeight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t="14.5" hidden="1" customHeight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t="14.5" hidden="1" customHeight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t="14.5" hidden="1" customHeight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t="14.5" hidden="1" customHeight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t="14.5" hidden="1" customHeight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t="14.5" hidden="1" customHeight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t="14.5" hidden="1" customHeight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t="14.5" hidden="1" customHeight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t="14.5" hidden="1" customHeight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t="14.5" hidden="1" customHeight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t="14.5" hidden="1" customHeight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t="14.5" hidden="1" customHeight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t="14.5" hidden="1" customHeight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t="14.5" hidden="1" customHeight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t="14.5" hidden="1" customHeight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t="14.5" hidden="1" customHeight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t="14.5" hidden="1" customHeight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t="14.5" hidden="1" customHeight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t="14.5" hidden="1" customHeight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t="14.5" hidden="1" customHeight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t="14.5" hidden="1" customHeight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t="14.5" hidden="1" customHeight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t="14.5" hidden="1" customHeight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t="14.5" hidden="1" customHeight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t="14.5" hidden="1" customHeight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t="14.5" hidden="1" customHeight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t="14.5" hidden="1" customHeight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t="14.5" hidden="1" customHeight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t="14.5" hidden="1" customHeight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t="14.5" hidden="1" customHeight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t="14.5" hidden="1" customHeight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t="14.5" hidden="1" customHeight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t="14.5" hidden="1" customHeight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t="14.5" hidden="1" customHeight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t="14.5" hidden="1" customHeight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t="14.5" hidden="1" customHeight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t="14.5" hidden="1" customHeight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t="14.5" hidden="1" customHeight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t="14.5" hidden="1" customHeight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t="14.5" hidden="1" customHeight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t="14.5" hidden="1" customHeight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t="14.5" hidden="1" customHeight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t="14.5" hidden="1" customHeight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t="14.5" hidden="1" customHeight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t="14.5" hidden="1" customHeight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t="14.5" hidden="1" customHeight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t="14.5" hidden="1" customHeight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t="14.5" hidden="1" customHeight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t="14.5" hidden="1" customHeight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t="14.5" hidden="1" customHeight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t="14.5" hidden="1" customHeight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t="14.5" hidden="1" customHeight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t="14.5" hidden="1" customHeight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t="14.5" hidden="1" customHeight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t="14.5" hidden="1" customHeight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t="14.5" hidden="1" customHeight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t="14.5" hidden="1" customHeight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t="14.5" hidden="1" customHeight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t="14.5" hidden="1" customHeight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t="14.5" hidden="1" customHeight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t="14.5" hidden="1" customHeight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t="14.5" hidden="1" customHeight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t="14.5" hidden="1" customHeight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t="14.5" hidden="1" customHeight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t="14.5" hidden="1" customHeight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t="14.5" hidden="1" customHeight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t="14.5" hidden="1" customHeight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t="14.5" hidden="1" customHeight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t="14.5" hidden="1" customHeight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t="14.5" hidden="1" customHeight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t="14.5" hidden="1" customHeight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t="14.5" hidden="1" customHeight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t="14.5" hidden="1" customHeight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t="14.5" hidden="1" customHeight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t="14.5" hidden="1" customHeight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t="14.5" hidden="1" customHeight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t="14.5" hidden="1" customHeight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t="14.5" hidden="1" customHeight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t="14.5" hidden="1" customHeight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t="14.5" hidden="1" customHeight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t="14.5" hidden="1" customHeight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t="14.5" hidden="1" customHeight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t="14.5" hidden="1" customHeight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t="14.5" hidden="1" customHeight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t="14.5" hidden="1" customHeight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t="14.5" hidden="1" customHeight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t="14.5" hidden="1" customHeight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t="14.5" hidden="1" customHeight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t="14.5" hidden="1" customHeight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t="14.5" hidden="1" customHeight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t="14.5" hidden="1" customHeight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t="14.5" hidden="1" customHeight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t="14.5" hidden="1" customHeight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t="14.5" hidden="1" customHeight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t="14.5" hidden="1" customHeight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t="14.5" hidden="1" customHeight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t="14.5" hidden="1" customHeight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t="14.5" hidden="1" customHeight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t="14.5" hidden="1" customHeight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t="14.5" hidden="1" customHeight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t="14.5" hidden="1" customHeight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t="14.5" hidden="1" customHeight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t="14.5" hidden="1" customHeight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t="14.5" hidden="1" customHeight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t="14.5" hidden="1" customHeight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t="14.5" hidden="1" customHeight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t="14.5" hidden="1" customHeight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t="14.5" hidden="1" customHeight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t="14.5" hidden="1" customHeight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t="14.5" hidden="1" customHeight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t="14.5" hidden="1" customHeight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t="14.5" hidden="1" customHeight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t="14.5" hidden="1" customHeight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t="14.5" hidden="1" customHeight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t="14.5" hidden="1" customHeight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t="14.5" hidden="1" customHeight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t="14.5" hidden="1" customHeight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t="14.5" hidden="1" customHeight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t="14.5" hidden="1" customHeight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t="14.5" hidden="1" customHeight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t="14.5" hidden="1" customHeight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t="14.5" hidden="1" customHeight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t="14.5" hidden="1" customHeight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t="14.5" hidden="1" customHeight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t="14.5" hidden="1" customHeight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t="14.5" hidden="1" customHeight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t="14.5" hidden="1" customHeight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t="14.5" hidden="1" customHeight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t="14.5" hidden="1" customHeight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t="14.5" hidden="1" customHeight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t="14.5" hidden="1" customHeight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t="14.5" hidden="1" customHeight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t="14.5" hidden="1" customHeight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t="14.5" hidden="1" customHeight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t="14.5" hidden="1" customHeight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t="14.5" hidden="1" customHeight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t="14.5" hidden="1" customHeight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t="14.5" hidden="1" customHeight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t="14.5" hidden="1" customHeight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t="14.5" hidden="1" customHeight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t="14.5" hidden="1" customHeight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t="14.5" hidden="1" customHeight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t="14.5" hidden="1" customHeight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t="14.5" hidden="1" customHeight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t="14.5" hidden="1" customHeight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t="14.5" hidden="1" customHeight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t="14.5" hidden="1" customHeight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t="14.5" hidden="1" customHeight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t="14.5" hidden="1" customHeight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t="14.5" hidden="1" customHeight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t="14.5" hidden="1" customHeight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t="14.5" hidden="1" customHeight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t="14.5" hidden="1" customHeight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t="14.5" hidden="1" customHeight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t="14.5" hidden="1" customHeight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t="14.5" hidden="1" customHeight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t="14.5" hidden="1" customHeight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t="14.5" hidden="1" customHeight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t="14.5" hidden="1" customHeight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t="14.5" hidden="1" customHeight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t="14.5" hidden="1" customHeight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t="14.5" hidden="1" customHeight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t="14.5" hidden="1" customHeight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t="14.5" hidden="1" customHeight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t="14.5" hidden="1" customHeight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t="14.5" hidden="1" customHeight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t="14.5" hidden="1" customHeight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t="14.5" hidden="1" customHeight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t="14.5" hidden="1" customHeight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t="14.5" hidden="1" customHeight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t="14.5" hidden="1" customHeight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t="14.5" hidden="1" customHeight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t="14.5" hidden="1" customHeight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t="14.5" hidden="1" customHeight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t="14.5" hidden="1" customHeight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t="14.5" hidden="1" customHeight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t="14.5" hidden="1" customHeight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t="14.5" hidden="1" customHeight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t="14.5" hidden="1" customHeight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t="14.5" hidden="1" customHeight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t="14.5" hidden="1" customHeight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t="14.5" hidden="1" customHeight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t="14.5" hidden="1" customHeight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t="14.5" hidden="1" customHeight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t="14.5" hidden="1" customHeight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t="14.5" hidden="1" customHeight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t="14.5" hidden="1" customHeight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t="14.5" hidden="1" customHeight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t="14.5" hidden="1" customHeight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t="14.5" hidden="1" customHeight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t="14.5" hidden="1" customHeight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t="14.5" hidden="1" customHeight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t="14.5" hidden="1" customHeight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t="14.5" hidden="1" customHeight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t="14.5" hidden="1" customHeight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t="14.5" hidden="1" customHeight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t="14.5" hidden="1" customHeight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t="14.5" hidden="1" customHeight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t="14.5" hidden="1" customHeight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t="14.5" hidden="1" customHeight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t="14.5" hidden="1" customHeight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t="14.5" hidden="1" customHeight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t="14.5" hidden="1" customHeight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t="14.5" hidden="1" customHeight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t="14.5" hidden="1" customHeight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t="14.5" hidden="1" customHeight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t="14.5" hidden="1" customHeight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t="14.5" hidden="1" customHeight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t="14.5" hidden="1" customHeight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t="14.5" hidden="1" customHeight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t="14.5" hidden="1" customHeight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t="14.5" hidden="1" customHeight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t="14.5" hidden="1" customHeight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t="14.5" hidden="1" customHeight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t="14.5" hidden="1" customHeight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t="14.5" hidden="1" customHeight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t="14.5" hidden="1" customHeight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t="14.5" hidden="1" customHeight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t="14.5" hidden="1" customHeight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t="14.5" hidden="1" customHeight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t="14.5" hidden="1" customHeight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t="14.5" hidden="1" customHeight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t="14.5" hidden="1" customHeight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t="14.5" hidden="1" customHeight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t="14.5" hidden="1" customHeight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t="14.5" hidden="1" customHeight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t="14.5" hidden="1" customHeight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t="14.5" hidden="1" customHeight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t="14.5" hidden="1" customHeight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t="14.5" hidden="1" customHeight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t="14.5" hidden="1" customHeight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t="14.5" hidden="1" customHeight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t="14.5" hidden="1" customHeight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t="14.5" hidden="1" customHeight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t="14.5" hidden="1" customHeight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t="14.5" hidden="1" customHeight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t="14.5" hidden="1" customHeight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t="14.5" hidden="1" customHeight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t="14.5" hidden="1" customHeight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t="14.5" hidden="1" customHeight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t="14.5" hidden="1" customHeight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t="14.5" hidden="1" customHeight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t="14.5" hidden="1" customHeight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t="14.5" hidden="1" customHeight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t="14.5" hidden="1" customHeight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t="14.5" hidden="1" customHeight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t="14.5" hidden="1" customHeight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t="14.5" hidden="1" customHeight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t="14.5" hidden="1" customHeight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t="14.5" hidden="1" customHeight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t="14.5" hidden="1" customHeight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t="14.5" hidden="1" customHeight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t="14.5" hidden="1" customHeight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t="14.5" hidden="1" customHeight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t="14.5" hidden="1" customHeight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t="14.5" hidden="1" customHeight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t="14.5" hidden="1" customHeight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t="14.5" hidden="1" customHeight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t="14.5" hidden="1" customHeight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t="14.5" hidden="1" customHeight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t="14.5" hidden="1" customHeight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t="14.5" hidden="1" customHeight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t="14.5" hidden="1" customHeight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t="14.5" hidden="1" customHeight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t="14.5" hidden="1" customHeight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t="14.5" hidden="1" customHeight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t="14.5" hidden="1" customHeight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t="14.5" hidden="1" customHeight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t="14.5" hidden="1" customHeight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t="14.5" hidden="1" customHeight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t="14.5" hidden="1" customHeight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t="14.5" hidden="1" customHeight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t="14.5" hidden="1" customHeight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t="14.5" hidden="1" customHeight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t="14.5" hidden="1" customHeight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t="14.5" hidden="1" customHeight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t="14.5" hidden="1" customHeight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t="14.5" hidden="1" customHeight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t="14.5" hidden="1" customHeight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t="14.5" hidden="1" customHeight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t="14.5" hidden="1" customHeight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t="14.5" hidden="1" customHeight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t="14.5" hidden="1" customHeight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t="14.5" hidden="1" customHeight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t="14.5" hidden="1" customHeight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t="14.5" hidden="1" customHeight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t="14.5" hidden="1" customHeight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t="14.5" hidden="1" customHeight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t="14.5" hidden="1" customHeight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t="14.5" hidden="1" customHeight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t="14.5" hidden="1" customHeight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t="14.5" hidden="1" customHeight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t="14.5" hidden="1" customHeight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t="14.5" hidden="1" customHeight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t="14.5" hidden="1" customHeight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t="14.5" hidden="1" customHeight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t="14.5" hidden="1" customHeight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t="14.5" hidden="1" customHeight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t="14.5" hidden="1" customHeight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t="14.5" hidden="1" customHeight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t="14.5" hidden="1" customHeight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t="14.5" hidden="1" customHeight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t="14.5" hidden="1" customHeight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t="14.5" hidden="1" customHeight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t="14.5" hidden="1" customHeight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t="14.5" hidden="1" customHeight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t="14.5" hidden="1" customHeight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t="14.5" hidden="1" customHeight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t="14.5" hidden="1" customHeight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t="14.5" hidden="1" customHeight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t="14.5" hidden="1" customHeight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t="14.5" hidden="1" customHeight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t="14.5" hidden="1" customHeight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t="14.5" hidden="1" customHeight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t="14.5" hidden="1" customHeight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t="14.5" hidden="1" customHeight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t="14.5" hidden="1" customHeight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t="14.5" hidden="1" customHeight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t="14.5" hidden="1" customHeight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t="14.5" hidden="1" customHeight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t="14.5" hidden="1" customHeight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t="14.5" hidden="1" customHeight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t="14.5" hidden="1" customHeight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t="14.5" hidden="1" customHeight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t="14.5" hidden="1" customHeight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t="14.5" hidden="1" customHeight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t="14.5" hidden="1" customHeight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t="14.5" hidden="1" customHeight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t="14.5" hidden="1" customHeight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t="14.5" hidden="1" customHeight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t="14.5" hidden="1" customHeight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t="14.5" hidden="1" customHeight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t="14.5" hidden="1" customHeight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t="14.5" hidden="1" customHeight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t="14.5" hidden="1" customHeight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t="14.5" hidden="1" customHeight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t="14.5" hidden="1" customHeight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t="14.5" hidden="1" customHeight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t="14.5" hidden="1" customHeight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t="14.5" hidden="1" customHeight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t="14.5" hidden="1" customHeight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t="14.5" hidden="1" customHeight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t="14.5" hidden="1" customHeight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t="14.5" hidden="1" customHeight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t="14.5" hidden="1" customHeight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t="14.5" hidden="1" customHeight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t="14.5" hidden="1" customHeight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t="14.5" hidden="1" customHeight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t="14.5" hidden="1" customHeight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t="14.5" hidden="1" customHeight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t="14.5" hidden="1" customHeight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t="14.5" hidden="1" customHeight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t="14.5" hidden="1" customHeight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t="14.5" hidden="1" customHeight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t="14.5" hidden="1" customHeight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t="14.5" hidden="1" customHeight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t="14.5" hidden="1" customHeight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t="14.5" hidden="1" customHeight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t="14.5" hidden="1" customHeight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t="14.5" hidden="1" customHeight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t="14.5" hidden="1" customHeight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t="14.5" hidden="1" customHeight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t="14.5" hidden="1" customHeight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t="14.5" hidden="1" customHeight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t="14.5" hidden="1" customHeight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t="14.5" hidden="1" customHeight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t="14.5" hidden="1" customHeight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t="14.5" hidden="1" customHeight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t="14.5" hidden="1" customHeight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t="14.5" hidden="1" customHeight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t="14.5" hidden="1" customHeight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t="14.5" hidden="1" customHeight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t="14.5" hidden="1" customHeight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t="14.5" hidden="1" customHeight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t="14.5" hidden="1" customHeight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t="14.5" hidden="1" customHeight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t="14.5" hidden="1" customHeight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t="14.5" hidden="1" customHeight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t="14.5" hidden="1" customHeight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t="14.5" hidden="1" customHeight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t="14.5" hidden="1" customHeight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t="14.5" hidden="1" customHeight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t="14.5" hidden="1" customHeight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t="14.5" hidden="1" customHeight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t="14.5" hidden="1" customHeight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t="14.5" hidden="1" customHeight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t="14.5" hidden="1" customHeight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t="14.5" hidden="1" customHeight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t="14.5" hidden="1" customHeight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t="14.5" hidden="1" customHeight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t="14.5" hidden="1" customHeight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t="14.5" hidden="1" customHeight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t="14.5" hidden="1" customHeight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t="14.5" hidden="1" customHeight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t="14.5" hidden="1" customHeight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t="14.5" hidden="1" customHeight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t="14.5" hidden="1" customHeight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t="14.5" hidden="1" customHeight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t="14.5" hidden="1" customHeight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t="14.5" hidden="1" customHeight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t="14.5" hidden="1" customHeight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t="14.5" hidden="1" customHeight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t="14.5" hidden="1" customHeight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t="14.5" hidden="1" customHeight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t="14.5" hidden="1" customHeight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t="14.5" hidden="1" customHeight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t="14.5" hidden="1" customHeight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t="14.5" hidden="1" customHeight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t="14.5" hidden="1" customHeight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t="14.5" hidden="1" customHeight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t="14.5" hidden="1" customHeight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t="14.5" hidden="1" customHeight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t="14.5" hidden="1" customHeight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t="14.5" hidden="1" customHeight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t="14.5" hidden="1" customHeight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t="14.5" hidden="1" customHeight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t="14.5" hidden="1" customHeight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t="14.5" hidden="1" customHeight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t="14.5" hidden="1" customHeight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t="14.5" hidden="1" customHeight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t="14.5" hidden="1" customHeight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t="14.5" hidden="1" customHeight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t="14.5" hidden="1" customHeight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t="14.5" hidden="1" customHeight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t="14.5" hidden="1" customHeight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t="14.5" hidden="1" customHeight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t="14.5" hidden="1" customHeight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t="14.5" hidden="1" customHeight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t="14.5" hidden="1" customHeight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t="14.5" hidden="1" customHeight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t="14.5" hidden="1" customHeight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t="14.5" hidden="1" customHeight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t="14.5" hidden="1" customHeight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t="14.5" hidden="1" customHeight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t="14.5" hidden="1" customHeight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t="14.5" hidden="1" customHeight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t="14.5" hidden="1" customHeight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t="14.5" hidden="1" customHeight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t="14.5" hidden="1" customHeight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t="14.5" hidden="1" customHeight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t="14.5" hidden="1" customHeight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t="14.5" hidden="1" customHeight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t="14.5" hidden="1" customHeight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t="14.5" hidden="1" customHeight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t="14.5" hidden="1" customHeight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t="14.5" hidden="1" customHeight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t="14.5" hidden="1" customHeight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t="14.5" hidden="1" customHeight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t="14.5" hidden="1" customHeight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t="14.5" hidden="1" customHeight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t="14.5" hidden="1" customHeight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t="14.5" hidden="1" customHeight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t="14.5" hidden="1" customHeight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t="14.5" hidden="1" customHeight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t="14.5" hidden="1" customHeight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t="14.5" hidden="1" customHeight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t="14.5" hidden="1" customHeight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t="14.5" hidden="1" customHeight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t="14.5" hidden="1" customHeight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t="14.5" hidden="1" customHeight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t="14.5" hidden="1" customHeight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t="14.5" hidden="1" customHeight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t="14.5" hidden="1" customHeight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t="14.5" hidden="1" customHeight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t="14.5" hidden="1" customHeight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t="14.5" hidden="1" customHeight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t="14.5" hidden="1" customHeight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t="14.5" hidden="1" customHeight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t="14.5" hidden="1" customHeight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t="14.5" hidden="1" customHeight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t="14.5" hidden="1" customHeight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t="14.5" hidden="1" customHeight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t="14.5" hidden="1" customHeight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t="14.5" hidden="1" customHeight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t="14.5" hidden="1" customHeight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t="14.5" hidden="1" customHeight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t="14.5" hidden="1" customHeight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t="14.5" hidden="1" customHeight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t="14.5" hidden="1" customHeight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t="14.5" hidden="1" customHeight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t="14.5" hidden="1" customHeight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t="14.5" hidden="1" customHeight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t="14.5" hidden="1" customHeight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t="14.5" hidden="1" customHeight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t="14.5" hidden="1" customHeight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t="14.5" hidden="1" customHeight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t="14.5" hidden="1" customHeight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t="14.5" hidden="1" customHeight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t="14.5" hidden="1" customHeight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t="14.5" hidden="1" customHeight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t="14.5" hidden="1" customHeight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t="14.5" hidden="1" customHeight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t="14.5" hidden="1" customHeight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t="14.5" hidden="1" customHeight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t="14.5" hidden="1" customHeight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t="14.5" hidden="1" customHeight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t="14.5" hidden="1" customHeight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t="14.5" hidden="1" customHeight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t="14.5" hidden="1" customHeight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t="14.5" hidden="1" customHeight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t="14.5" hidden="1" customHeight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t="14.5" hidden="1" customHeight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t="14.5" hidden="1" customHeight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t="14.5" hidden="1" customHeight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t="14.5" hidden="1" customHeight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t="14.5" hidden="1" customHeight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t="14.5" hidden="1" customHeight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t="14.5" hidden="1" customHeight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t="14.5" hidden="1" customHeight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t="14.5" hidden="1" customHeight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t="14.5" hidden="1" customHeight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t="14.5" hidden="1" customHeight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t="14.5" hidden="1" customHeight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t="14.5" hidden="1" customHeight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t="14.5" hidden="1" customHeight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t="14.5" hidden="1" customHeight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t="14.5" hidden="1" customHeight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t="14.5" hidden="1" customHeight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t="14.5" hidden="1" customHeight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t="14.5" hidden="1" customHeight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t="14.5" hidden="1" customHeight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t="14.5" hidden="1" customHeight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t="14.5" hidden="1" customHeight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t="14.5" hidden="1" customHeight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t="14.5" hidden="1" customHeight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t="14.5" hidden="1" customHeight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t="14.5" hidden="1" customHeight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t="14.5" hidden="1" customHeight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t="14.5" hidden="1" customHeight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t="14.5" hidden="1" customHeight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t="14.5" hidden="1" customHeight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t="14.5" hidden="1" customHeight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t="14.5" hidden="1" customHeight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t="14.5" hidden="1" customHeight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t="14.5" hidden="1" customHeight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t="14.5" hidden="1" customHeight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t="14.5" hidden="1" customHeight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t="14.5" hidden="1" customHeight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t="14.5" hidden="1" customHeight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t="14.5" hidden="1" customHeight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t="14.5" hidden="1" customHeight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t="14.5" hidden="1" customHeight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t="14.5" hidden="1" customHeight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t="14.5" hidden="1" customHeight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t="14.5" hidden="1" customHeight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t="14.5" hidden="1" customHeight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t="14.5" hidden="1" customHeight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t="14.5" hidden="1" customHeight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t="14.5" hidden="1" customHeight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t="14.5" hidden="1" customHeight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t="14.5" hidden="1" customHeight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t="14.5" hidden="1" customHeight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t="14.5" hidden="1" customHeight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t="14.5" hidden="1" customHeight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t="14.5" hidden="1" customHeight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t="14.5" hidden="1" customHeight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t="14.5" hidden="1" customHeight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t="14.5" hidden="1" customHeight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t="14.5" hidden="1" customHeight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t="14.5" hidden="1" customHeight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t="14.5" hidden="1" customHeight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t="14.5" hidden="1" customHeight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t="14.5" hidden="1" customHeight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t="14.5" hidden="1" customHeight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t="14.5" hidden="1" customHeight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t="14.5" hidden="1" customHeight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t="14.5" hidden="1" customHeight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t="14.5" hidden="1" customHeight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t="14.5" hidden="1" customHeight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t="14.5" hidden="1" customHeight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t="14.5" hidden="1" customHeight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t="14.5" hidden="1" customHeight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t="14.5" hidden="1" customHeight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t="14.5" hidden="1" customHeight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t="14.5" hidden="1" customHeight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t="14.5" hidden="1" customHeight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t="14.5" hidden="1" customHeight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t="14.5" hidden="1" customHeight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t="14.5" hidden="1" customHeight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t="14.5" hidden="1" customHeight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t="14.5" hidden="1" customHeight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t="14.5" hidden="1" customHeight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t="14.5" hidden="1" customHeight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t="14.5" hidden="1" customHeight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t="14.5" hidden="1" customHeight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t="14.5" hidden="1" customHeight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t="14.5" hidden="1" customHeight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t="14.5" hidden="1" customHeight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t="14.5" hidden="1" customHeight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t="14.5" hidden="1" customHeight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t="14.5" hidden="1" customHeight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t="14.5" hidden="1" customHeight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t="14.5" hidden="1" customHeight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t="14.5" hidden="1" customHeight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t="14.5" hidden="1" customHeight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t="14.5" hidden="1" customHeight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t="14.5" hidden="1" customHeight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t="14.5" hidden="1" customHeight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t="14.5" hidden="1" customHeight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t="14.5" hidden="1" customHeight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t="14.5" hidden="1" customHeight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t="14.5" hidden="1" customHeight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t="14.5" hidden="1" customHeight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t="14.5" hidden="1" customHeight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t="14.5" hidden="1" customHeight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t="14.5" hidden="1" customHeight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t="14.5" hidden="1" customHeight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t="14.5" hidden="1" customHeight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t="14.5" hidden="1" customHeight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t="14.5" hidden="1" customHeight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t="14.5" hidden="1" customHeight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t="14.5" hidden="1" customHeight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t="14.5" hidden="1" customHeight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t="14.5" hidden="1" customHeight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t="14.5" hidden="1" customHeight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t="14.5" hidden="1" customHeight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t="14.5" hidden="1" customHeight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t="14.5" hidden="1" customHeight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t="14.5" hidden="1" customHeight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t="14.5" hidden="1" customHeight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t="14.5" hidden="1" customHeight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t="14.5" hidden="1" customHeight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t="14.5" hidden="1" customHeight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t="14.5" hidden="1" customHeight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t="14.5" hidden="1" customHeight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t="14.5" hidden="1" customHeight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t="14.5" hidden="1" customHeight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t="14.5" hidden="1" customHeight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t="14.5" hidden="1" customHeight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t="14.5" hidden="1" customHeight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t="14.5" hidden="1" customHeight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t="14.5" hidden="1" customHeight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t="14.5" hidden="1" customHeight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t="14.5" hidden="1" customHeight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t="14.5" hidden="1" customHeight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t="14.5" hidden="1" customHeight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t="14.5" hidden="1" customHeight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t="14.5" hidden="1" customHeight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t="14.5" hidden="1" customHeight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t="14.5" hidden="1" customHeight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t="14.5" hidden="1" customHeight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t="14.5" hidden="1" customHeight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t="14.5" hidden="1" customHeight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t="14.5" hidden="1" customHeight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t="14.5" hidden="1" customHeight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t="14.5" hidden="1" customHeight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t="14.5" hidden="1" customHeight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t="14.5" hidden="1" customHeight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t="14.5" hidden="1" customHeight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t="14.5" hidden="1" customHeight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t="14.5" hidden="1" customHeight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t="14.5" hidden="1" customHeight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t="14.5" hidden="1" customHeight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t="14.5" hidden="1" customHeight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t="14.5" hidden="1" customHeight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t="14.5" hidden="1" customHeight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t="14.5" hidden="1" customHeight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t="14.5" hidden="1" customHeight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t="14.5" hidden="1" customHeight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t="14.5" hidden="1" customHeight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t="14.5" hidden="1" customHeight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t="14.5" hidden="1" customHeight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t="14.5" hidden="1" customHeight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t="14.5" hidden="1" customHeight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t="14.5" hidden="1" customHeight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t="14.5" hidden="1" customHeight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t="14.5" hidden="1" customHeight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t="14.5" hidden="1" customHeight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t="14.5" hidden="1" customHeight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t="14.5" hidden="1" customHeight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t="14.5" hidden="1" customHeight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t="14.5" hidden="1" customHeight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t="14.5" hidden="1" customHeight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t="14.5" hidden="1" customHeight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t="14.5" hidden="1" customHeight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t="14.5" hidden="1" customHeight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t="14.5" hidden="1" customHeight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t="14.5" hidden="1" customHeight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t="14.5" hidden="1" customHeight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t="14.5" hidden="1" customHeight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t="14.5" hidden="1" customHeight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t="14.5" hidden="1" customHeight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t="14.5" hidden="1" customHeight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t="14.5" hidden="1" customHeight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t="14.5" hidden="1" customHeight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t="14.5" hidden="1" customHeight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t="14.5" hidden="1" customHeight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t="14.5" hidden="1" customHeight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t="14.5" hidden="1" customHeight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t="14.5" hidden="1" customHeight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t="14.5" hidden="1" customHeight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t="14.5" hidden="1" customHeight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t="14.5" hidden="1" customHeight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t="14.5" hidden="1" customHeight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t="14.5" hidden="1" customHeight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t="14.5" hidden="1" customHeight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t="14.5" hidden="1" customHeight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t="14.5" hidden="1" customHeight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t="14.5" hidden="1" customHeight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t="14.5" hidden="1" customHeight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t="14.5" hidden="1" customHeight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t="14.5" hidden="1" customHeight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t="14.5" hidden="1" customHeight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t="14.5" hidden="1" customHeight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t="14.5" hidden="1" customHeight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t="14.5" hidden="1" customHeight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t="14.5" hidden="1" customHeight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t="14.5" hidden="1" customHeight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t="14.5" hidden="1" customHeight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t="14.5" hidden="1" customHeight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t="14.5" hidden="1" customHeight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t="14.5" hidden="1" customHeight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t="14.5" hidden="1" customHeight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t="14.5" hidden="1" customHeight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t="14.5" hidden="1" customHeight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t="14.5" hidden="1" customHeight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t="14.5" hidden="1" customHeight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t="14.5" hidden="1" customHeight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t="14.5" hidden="1" customHeight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t="14.5" hidden="1" customHeight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t="14.5" hidden="1" customHeight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t="14.5" hidden="1" customHeight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t="14.5" hidden="1" customHeight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t="14.5" hidden="1" customHeight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t="14.5" hidden="1" customHeight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t="14.5" hidden="1" customHeight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t="14.5" hidden="1" customHeight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t="14.5" hidden="1" customHeight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t="14.5" hidden="1" customHeight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t="14.5" hidden="1" customHeight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t="14.5" hidden="1" customHeight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t="14.5" hidden="1" customHeight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t="14.5" hidden="1" customHeight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t="14.5" hidden="1" customHeight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t="14.5" hidden="1" customHeight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t="14.5" hidden="1" customHeight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t="14.5" hidden="1" customHeight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t="14.5" hidden="1" customHeight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t="14.5" hidden="1" customHeight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t="14.5" hidden="1" customHeight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t="14.5" hidden="1" customHeight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t="14.5" hidden="1" customHeight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t="14.5" hidden="1" customHeight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t="14.5" hidden="1" customHeight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t="14.5" hidden="1" customHeight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t="14.5" hidden="1" customHeight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t="14.5" hidden="1" customHeight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t="14.5" hidden="1" customHeight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t="14.5" hidden="1" customHeight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t="14.5" hidden="1" customHeight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t="14.5" hidden="1" customHeight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t="14.5" hidden="1" customHeight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t="14.5" hidden="1" customHeight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t="14.5" hidden="1" customHeight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t="14.5" hidden="1" customHeight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t="14.5" hidden="1" customHeight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t="14.5" hidden="1" customHeight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t="14.5" hidden="1" customHeight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t="14.5" hidden="1" customHeight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t="14.5" hidden="1" customHeight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t="14.5" hidden="1" customHeight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t="14.5" hidden="1" customHeight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t="14.5" hidden="1" customHeight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t="14.5" hidden="1" customHeight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t="14.5" hidden="1" customHeight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t="14.5" hidden="1" customHeight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t="14.5" hidden="1" customHeight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t="14.5" hidden="1" customHeight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t="14.5" hidden="1" customHeight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t="14.5" hidden="1" customHeight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t="14.5" hidden="1" customHeight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t="14.5" hidden="1" customHeight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t="14.5" hidden="1" customHeight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t="14.5" hidden="1" customHeight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t="14.5" hidden="1" customHeight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t="14.5" hidden="1" customHeight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t="14.5" hidden="1" customHeight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t="14.5" hidden="1" customHeight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t="14.5" hidden="1" customHeight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t="14.5" hidden="1" customHeight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t="14.5" hidden="1" customHeight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t="14.5" hidden="1" customHeight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t="14.5" hidden="1" customHeight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t="14.5" hidden="1" customHeight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t="14.5" hidden="1" customHeight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t="14.5" hidden="1" customHeight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t="14.5" hidden="1" customHeight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t="14.5" hidden="1" customHeight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t="14.5" hidden="1" customHeight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t="14.5" hidden="1" customHeight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t="14.5" hidden="1" customHeight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t="14.5" hidden="1" customHeight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t="14.5" hidden="1" customHeight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t="14.5" hidden="1" customHeight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t="14.5" hidden="1" customHeight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t="14.5" hidden="1" customHeight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t="14.5" hidden="1" customHeight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t="14.5" hidden="1" customHeight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t="14.5" hidden="1" customHeight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t="14.5" hidden="1" customHeight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t="14.5" hidden="1" customHeight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t="14.5" hidden="1" customHeight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t="14.5" hidden="1" customHeight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t="14.5" hidden="1" customHeight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t="14.5" hidden="1" customHeight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t="14.5" hidden="1" customHeight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t="14.5" hidden="1" customHeight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t="14.5" hidden="1" customHeight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t="14.5" hidden="1" customHeight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t="14.5" hidden="1" customHeight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t="14.5" hidden="1" customHeight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t="14.5" hidden="1" customHeight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t="14.5" hidden="1" customHeight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t="14.5" hidden="1" customHeight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t="14.5" hidden="1" customHeight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t="14.5" hidden="1" customHeight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t="14.5" hidden="1" customHeight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t="14.5" hidden="1" customHeight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t="14.5" hidden="1" customHeight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t="14.5" hidden="1" customHeight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t="14.5" hidden="1" customHeight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t="14.5" hidden="1" customHeight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t="14.5" hidden="1" customHeight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t="14.5" hidden="1" customHeight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t="14.5" hidden="1" customHeight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t="14.5" hidden="1" customHeight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t="14.5" hidden="1" customHeight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t="14.5" hidden="1" customHeight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t="14.5" hidden="1" customHeight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t="14.5" hidden="1" customHeight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t="14.5" hidden="1" customHeight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t="14.5" hidden="1" customHeight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t="14.5" hidden="1" customHeight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t="14.5" hidden="1" customHeight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t="14.5" hidden="1" customHeight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t="14.5" hidden="1" customHeight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t="14.5" hidden="1" customHeight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t="14.5" hidden="1" customHeight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t="14.5" hidden="1" customHeight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t="14.5" hidden="1" customHeight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t="14.5" hidden="1" customHeight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t="14.5" hidden="1" customHeight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t="14.5" hidden="1" customHeight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t="14.5" hidden="1" customHeight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t="14.5" hidden="1" customHeight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t="14.5" hidden="1" customHeight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t="14.5" hidden="1" customHeight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t="14.5" hidden="1" customHeight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t="14.5" hidden="1" customHeight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t="14.5" hidden="1" customHeight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t="14.5" hidden="1" customHeight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t="14.5" hidden="1" customHeight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t="14.5" hidden="1" customHeight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t="14.5" hidden="1" customHeight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t="14.5" hidden="1" customHeight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t="14.5" hidden="1" customHeight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t="14.5" hidden="1" customHeight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t="14.5" hidden="1" customHeight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t="14.5" hidden="1" customHeight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t="14.5" hidden="1" customHeight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t="14.5" hidden="1" customHeight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t="14.5" hidden="1" customHeight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t="14.5" hidden="1" customHeight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t="14.5" hidden="1" customHeight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t="14.5" hidden="1" customHeight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t="14.5" hidden="1" customHeight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t="14.5" hidden="1" customHeight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t="14.5" hidden="1" customHeight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t="14.5" hidden="1" customHeight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t="14.5" hidden="1" customHeight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t="14.5" hidden="1" customHeight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t="14.5" hidden="1" customHeight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t="14.5" hidden="1" customHeight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t="14.5" hidden="1" customHeight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t="14.5" hidden="1" customHeight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t="14.5" hidden="1" customHeight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t="14.5" hidden="1" customHeight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t="14.5" hidden="1" customHeight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t="14.5" hidden="1" customHeight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t="14.5" hidden="1" customHeight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t="14.5" hidden="1" customHeight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t="14.5" hidden="1" customHeight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t="14.5" hidden="1" customHeight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t="14.5" hidden="1" customHeight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t="14.5" hidden="1" customHeight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t="14.5" hidden="1" customHeight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t="14.5" hidden="1" customHeight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t="14.5" hidden="1" customHeight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t="14.5" hidden="1" customHeight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t="14.5" hidden="1" customHeight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t="14.5" hidden="1" customHeight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t="14.5" hidden="1" customHeight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t="14.5" hidden="1" customHeight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t="14.5" hidden="1" customHeight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t="14.5" hidden="1" customHeight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t="14.5" hidden="1" customHeight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t="14.5" hidden="1" customHeight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t="14.5" hidden="1" customHeight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t="14.5" hidden="1" customHeight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t="14.5" hidden="1" customHeight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t="14.5" hidden="1" customHeight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t="14.5" hidden="1" customHeight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t="14.5" hidden="1" customHeight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t="14.5" hidden="1" customHeight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t="14.5" hidden="1" customHeight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t="14.5" hidden="1" customHeight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t="14.5" hidden="1" customHeight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t="14.5" hidden="1" customHeight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t="14.5" hidden="1" customHeight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t="14.5" hidden="1" customHeight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t="14.5" hidden="1" customHeight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t="14.5" hidden="1" customHeight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t="14.5" hidden="1" customHeight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t="14.5" hidden="1" customHeight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t="14.5" hidden="1" customHeight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t="14.5" hidden="1" customHeight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t="14.5" hidden="1" customHeight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t="14.5" hidden="1" customHeight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t="14.5" hidden="1" customHeight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t="14.5" hidden="1" customHeight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t="14.5" hidden="1" customHeight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t="14.5" hidden="1" customHeight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t="14.5" hidden="1" customHeight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t="14.5" hidden="1" customHeight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t="14.5" hidden="1" customHeight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t="14.5" hidden="1" customHeight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t="14.5" hidden="1" customHeight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t="14.5" hidden="1" customHeight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t="14.5" hidden="1" customHeight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t="14.5" hidden="1" customHeight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t="14.5" hidden="1" customHeight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t="14.5" hidden="1" customHeight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t="14.5" hidden="1" customHeight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t="14.5" hidden="1" customHeight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t="14.5" hidden="1" customHeight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t="14.5" hidden="1" customHeight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t="14.5" hidden="1" customHeight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t="14.5" hidden="1" customHeight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t="14.5" hidden="1" customHeight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t="14.5" hidden="1" customHeight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t="14.5" hidden="1" customHeight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t="14.5" hidden="1" customHeight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t="14.5" hidden="1" customHeight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t="14.5" hidden="1" customHeight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t="14.5" hidden="1" customHeight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t="14.5" hidden="1" customHeight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t="14.5" hidden="1" customHeight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t="14.5" hidden="1" customHeight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t="14.5" hidden="1" customHeight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t="14.5" hidden="1" customHeight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t="14.5" hidden="1" customHeight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t="14.5" hidden="1" customHeight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t="14.5" hidden="1" customHeight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t="14.5" hidden="1" customHeight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t="14.5" hidden="1" customHeight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t="14.5" hidden="1" customHeight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t="14.5" hidden="1" customHeight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t="14.5" hidden="1" customHeight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t="14.5" hidden="1" customHeight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t="14.5" hidden="1" customHeight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t="14.5" hidden="1" customHeight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t="14.5" hidden="1" customHeight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t="14.5" hidden="1" customHeight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t="14.5" hidden="1" customHeight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t="14.5" hidden="1" customHeight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t="14.5" hidden="1" customHeight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t="14.5" hidden="1" customHeight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t="14.5" hidden="1" customHeight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t="14.5" hidden="1" customHeight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t="14.5" hidden="1" customHeight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t="14.5" hidden="1" customHeight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t="14.5" hidden="1" customHeight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t="14.5" hidden="1" customHeight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t="14.5" hidden="1" customHeight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t="14.5" hidden="1" customHeight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t="14.5" hidden="1" customHeight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t="14.5" hidden="1" customHeight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t="14.5" hidden="1" customHeight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t="14.5" hidden="1" customHeight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t="14.5" hidden="1" customHeight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t="14.5" hidden="1" customHeight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t="14.5" hidden="1" customHeight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t="14.5" hidden="1" customHeight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t="14.5" hidden="1" customHeight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t="14.5" hidden="1" customHeight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t="14.5" hidden="1" customHeight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t="14.5" hidden="1" customHeight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t="14.5" hidden="1" customHeight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t="14.5" hidden="1" customHeight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t="14.5" hidden="1" customHeight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t="14.5" hidden="1" customHeight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t="14.5" hidden="1" customHeight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t="14.5" hidden="1" customHeight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t="14.5" hidden="1" customHeight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t="14.5" hidden="1" customHeight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t="14.5" hidden="1" customHeight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t="14.5" hidden="1" customHeight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t="14.5" hidden="1" customHeight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t="14.5" hidden="1" customHeight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t="14.5" hidden="1" customHeight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t="14.5" hidden="1" customHeight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t="14.5" hidden="1" customHeight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t="14.5" hidden="1" customHeight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t="14.5" hidden="1" customHeight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t="14.5" hidden="1" customHeight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t="14.5" hidden="1" customHeight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t="14.5" hidden="1" customHeight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t="14.5" hidden="1" customHeight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t="14.5" hidden="1" customHeight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t="14.5" hidden="1" customHeight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t="14.5" hidden="1" customHeight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t="14.5" hidden="1" customHeight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t="14.5" hidden="1" customHeight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t="14.5" hidden="1" customHeight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t="14.5" hidden="1" customHeight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t="14.5" hidden="1" customHeight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t="14.5" hidden="1" customHeight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t="14.5" hidden="1" customHeight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t="14.5" hidden="1" customHeight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t="14.5" hidden="1" customHeight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t="14.5" hidden="1" customHeight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t="14.5" hidden="1" customHeight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t="14.5" hidden="1" customHeight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t="14.5" hidden="1" customHeight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t="14.5" hidden="1" customHeight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t="14.5" hidden="1" customHeight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t="14.5" hidden="1" customHeight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t="14.5" hidden="1" customHeight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t="14.5" hidden="1" customHeight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t="14.5" hidden="1" customHeight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t="14.5" hidden="1" customHeight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t="14.5" hidden="1" customHeight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t="14.5" hidden="1" customHeight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t="14.5" hidden="1" customHeight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t="14.5" hidden="1" customHeight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t="14.5" hidden="1" customHeight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t="14.5" hidden="1" customHeight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t="14.5" hidden="1" customHeight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t="14.5" hidden="1" customHeight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t="14.5" hidden="1" customHeight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t="14.5" hidden="1" customHeight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t="14.5" hidden="1" customHeight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t="14.5" hidden="1" customHeight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t="14.5" hidden="1" customHeight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t="14.5" hidden="1" customHeight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t="14.5" hidden="1" customHeight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t="14.5" hidden="1" customHeight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t="14.5" hidden="1" customHeight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t="14.5" hidden="1" customHeight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t="14.5" hidden="1" customHeight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t="14.5" hidden="1" customHeight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t="14.5" hidden="1" customHeight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t="14.5" hidden="1" customHeight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t="14.5" hidden="1" customHeight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t="14.5" hidden="1" customHeight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t="14.5" hidden="1" customHeight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t="14.5" hidden="1" customHeight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t="14.5" hidden="1" customHeight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t="14.5" hidden="1" customHeight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t="14.5" hidden="1" customHeight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t="14.5" hidden="1" customHeight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t="14.5" hidden="1" customHeight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t="14.5" hidden="1" customHeight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t="14.5" hidden="1" customHeight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t="14.5" hidden="1" customHeight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t="14.5" hidden="1" customHeight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t="14.5" hidden="1" customHeight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t="14.5" hidden="1" customHeight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t="14.5" hidden="1" customHeight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t="14.5" hidden="1" customHeight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t="14.5" hidden="1" customHeight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t="14.5" hidden="1" customHeight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t="14.5" hidden="1" customHeight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t="14.5" hidden="1" customHeight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t="14.5" hidden="1" customHeight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t="14.5" hidden="1" customHeight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t="14.5" hidden="1" customHeight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t="14.5" hidden="1" customHeight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t="14.5" hidden="1" customHeight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t="14.5" hidden="1" customHeight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t="14.5" hidden="1" customHeight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t="14.5" hidden="1" customHeight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t="14.5" hidden="1" customHeight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t="14.5" hidden="1" customHeight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t="14.5" hidden="1" customHeight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t="14.5" hidden="1" customHeight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t="14.5" hidden="1" customHeight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t="14.5" hidden="1" customHeight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t="14.5" hidden="1" customHeight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t="14.5" hidden="1" customHeight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t="14.5" hidden="1" customHeight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t="14.5" hidden="1" customHeight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t="14.5" hidden="1" customHeight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t="14.5" hidden="1" customHeight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t="14.5" hidden="1" customHeight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t="14.5" hidden="1" customHeight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t="14.5" hidden="1" customHeight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t="14.5" hidden="1" customHeight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t="14.5" hidden="1" customHeight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t="14.5" hidden="1" customHeight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t="14.5" hidden="1" customHeight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t="14.5" hidden="1" customHeight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t="14.5" hidden="1" customHeight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t="14.5" hidden="1" customHeight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t="14.5" hidden="1" customHeight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t="14.5" hidden="1" customHeight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t="14.5" hidden="1" customHeight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t="14.5" hidden="1" customHeight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t="14.5" hidden="1" customHeight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t="14.5" hidden="1" customHeight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t="14.5" hidden="1" customHeight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t="14.5" hidden="1" customHeight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t="14.5" hidden="1" customHeight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t="14.5" hidden="1" customHeight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t="14.5" hidden="1" customHeight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t="14.5" hidden="1" customHeight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t="14.5" hidden="1" customHeight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t="14.5" hidden="1" customHeight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t="14.5" hidden="1" customHeight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t="14.5" hidden="1" customHeight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t="14.5" hidden="1" customHeight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t="14.5" hidden="1" customHeight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t="14.5" hidden="1" customHeight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t="14.5" hidden="1" customHeight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t="14.5" hidden="1" customHeight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t="14.5" hidden="1" customHeight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t="14.5" hidden="1" customHeight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t="14.5" hidden="1" customHeight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t="14.5" hidden="1" customHeight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t="14.5" hidden="1" customHeight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t="14.5" hidden="1" customHeight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t="14.5" hidden="1" customHeight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t="14.5" hidden="1" customHeight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t="14.5" hidden="1" customHeight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t="14.5" hidden="1" customHeight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t="14.5" hidden="1" customHeight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t="14.5" hidden="1" customHeight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t="14.5" hidden="1" customHeight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t="14.5" hidden="1" customHeight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t="14.5" hidden="1" customHeight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t="14.5" hidden="1" customHeight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t="14.5" hidden="1" customHeight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t="14.5" hidden="1" customHeight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t="14.5" hidden="1" customHeight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t="14.5" hidden="1" customHeight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t="14.5" hidden="1" customHeight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t="14.5" hidden="1" customHeight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t="14.5" hidden="1" customHeight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t="14.5" hidden="1" customHeight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t="14.5" hidden="1" customHeight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t="14.5" hidden="1" customHeight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t="14.5" hidden="1" customHeight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t="14.5" hidden="1" customHeight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t="14.5" hidden="1" customHeight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t="14.5" hidden="1" customHeight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t="14.5" hidden="1" customHeight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t="14.5" hidden="1" customHeight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t="14.5" hidden="1" customHeight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t="14.5" hidden="1" customHeight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t="14.5" hidden="1" customHeight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t="14.5" hidden="1" customHeight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t="14.5" hidden="1" customHeight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t="14.5" hidden="1" customHeight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t="14.5" hidden="1" customHeight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t="14.5" hidden="1" customHeight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t="14.5" hidden="1" customHeight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t="14.5" hidden="1" customHeight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t="14.5" hidden="1" customHeight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t="14.5" hidden="1" customHeight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t="14.5" hidden="1" customHeight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t="14.5" hidden="1" customHeight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t="14.5" hidden="1" customHeight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t="14.5" hidden="1" customHeight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t="14.5" hidden="1" customHeight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t="14.5" hidden="1" customHeight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t="14.5" hidden="1" customHeight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t="14.5" hidden="1" customHeight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t="14.5" hidden="1" customHeight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t="14.5" hidden="1" customHeight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t="14.5" hidden="1" customHeight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t="14.5" hidden="1" customHeight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t="14.5" hidden="1" customHeight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t="14.5" hidden="1" customHeight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t="14.5" hidden="1" customHeight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t="14.5" hidden="1" customHeight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t="14.5" hidden="1" customHeight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t="14.5" hidden="1" customHeight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t="14.5" hidden="1" customHeight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t="14.5" hidden="1" customHeight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t="14.5" hidden="1" customHeight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t="14.5" hidden="1" customHeight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t="14.5" hidden="1" customHeight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t="14.5" hidden="1" customHeight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t="14.5" hidden="1" customHeight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t="14.5" hidden="1" customHeight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t="14.5" hidden="1" customHeight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t="14.5" hidden="1" customHeight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t="14.5" hidden="1" customHeight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t="14.5" hidden="1" customHeight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t="14.5" hidden="1" customHeight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t="14.5" hidden="1" customHeight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t="14.5" hidden="1" customHeight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t="14.5" hidden="1" customHeight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t="14.5" hidden="1" customHeight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t="14.5" hidden="1" customHeight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t="14.5" hidden="1" customHeight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t="14.5" hidden="1" customHeight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t="14.5" hidden="1" customHeight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t="14.5" hidden="1" customHeight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t="14.5" hidden="1" customHeight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t="14.5" hidden="1" customHeight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t="14.5" hidden="1" customHeight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t="14.5" hidden="1" customHeight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t="14.5" hidden="1" customHeight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t="14.5" hidden="1" customHeight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t="14.5" hidden="1" customHeight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t="14.5" hidden="1" customHeight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t="14.5" hidden="1" customHeight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t="14.5" hidden="1" customHeight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t="14.5" hidden="1" customHeight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t="14.5" hidden="1" customHeight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t="14.5" hidden="1" customHeight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t="14.5" hidden="1" customHeight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t="14.5" hidden="1" customHeight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t="14.5" hidden="1" customHeight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t="14.5" hidden="1" customHeight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t="14.5" hidden="1" customHeight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t="14.5" hidden="1" customHeight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t="14.5" hidden="1" customHeight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t="14.5" hidden="1" customHeight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t="14.5" hidden="1" customHeight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t="14.5" hidden="1" customHeight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t="14.5" hidden="1" customHeight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t="14.5" hidden="1" customHeight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t="14.5" hidden="1" customHeight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t="14.5" hidden="1" customHeight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t="14.5" hidden="1" customHeight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t="14.5" hidden="1" customHeight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t="14.5" hidden="1" customHeight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t="14.5" hidden="1" customHeight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t="14.5" hidden="1" customHeight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t="14.5" hidden="1" customHeight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t="14.5" hidden="1" customHeight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t="14.5" hidden="1" customHeight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t="14.5" hidden="1" customHeight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t="14.5" hidden="1" customHeight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t="14.5" hidden="1" customHeight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t="14.5" hidden="1" customHeight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t="14.5" hidden="1" customHeight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t="14.5" hidden="1" customHeight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t="14.5" hidden="1" customHeight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t="14.5" hidden="1" customHeight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t="14.5" hidden="1" customHeight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t="14.5" hidden="1" customHeight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t="14.5" hidden="1" customHeight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t="14.5" hidden="1" customHeight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t="14.5" hidden="1" customHeight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t="14.5" hidden="1" customHeight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t="14.5" hidden="1" customHeight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t="14.5" hidden="1" customHeight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t="14.5" hidden="1" customHeight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t="14.5" hidden="1" customHeight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t="14.5" hidden="1" customHeight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t="14.5" hidden="1" customHeight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t="14.5" hidden="1" customHeight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t="14.5" hidden="1" customHeight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t="14.5" hidden="1" customHeight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t="14.5" hidden="1" customHeight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t="14.5" hidden="1" customHeight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t="14.5" hidden="1" customHeight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t="14.5" hidden="1" customHeight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t="14.5" hidden="1" customHeight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t="14.5" hidden="1" customHeight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t="14.5" hidden="1" customHeight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t="14.5" hidden="1" customHeight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t="14.5" hidden="1" customHeight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t="14.5" hidden="1" customHeight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t="14.5" hidden="1" customHeight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t="14.5" hidden="1" customHeight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t="14.5" hidden="1" customHeight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t="14.5" hidden="1" customHeight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t="14.5" hidden="1" customHeight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t="14.5" hidden="1" customHeight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t="14.5" hidden="1" customHeight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t="14.5" hidden="1" customHeight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t="14.5" hidden="1" customHeight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t="14.5" hidden="1" customHeight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t="14.5" hidden="1" customHeight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t="14.5" hidden="1" customHeight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t="14.5" hidden="1" customHeight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t="14.5" hidden="1" customHeight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t="14.5" hidden="1" customHeight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t="14.5" hidden="1" customHeight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t="14.5" hidden="1" customHeight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t="14.5" hidden="1" customHeight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t="14.5" hidden="1" customHeight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t="14.5" hidden="1" customHeight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t="14.5" hidden="1" customHeight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t="14.5" hidden="1" customHeight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t="14.5" hidden="1" customHeight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t="14.5" hidden="1" customHeight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t="14.5" hidden="1" customHeight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t="14.5" hidden="1" customHeight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t="14.5" hidden="1" customHeight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t="14.5" hidden="1" customHeight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t="14.5" hidden="1" customHeight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t="14.5" hidden="1" customHeight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t="14.5" hidden="1" customHeight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t="14.5" hidden="1" customHeight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t="14.5" hidden="1" customHeight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t="14.5" hidden="1" customHeight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t="14.5" hidden="1" customHeight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t="14.5" hidden="1" customHeight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t="14.5" hidden="1" customHeight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t="14.5" hidden="1" customHeight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t="14.5" hidden="1" customHeight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t="14.5" hidden="1" customHeight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t="14.5" hidden="1" customHeight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t="14.5" hidden="1" customHeight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t="14.5" hidden="1" customHeight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t="14.5" hidden="1" customHeight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t="14.5" hidden="1" customHeight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t="14.5" hidden="1" customHeight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t="14.5" hidden="1" customHeight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t="14.5" hidden="1" customHeight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t="14.5" hidden="1" customHeight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t="14.5" hidden="1" customHeight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t="14.5" hidden="1" customHeight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t="14.5" hidden="1" customHeight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t="14.5" hidden="1" customHeight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t="14.5" hidden="1" customHeight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t="14.5" hidden="1" customHeight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t="14.5" hidden="1" customHeight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t="14.5" hidden="1" customHeight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t="14.5" hidden="1" customHeight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t="14.5" hidden="1" customHeight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t="14.5" hidden="1" customHeight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t="14.5" hidden="1" customHeight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t="14.5" hidden="1" customHeight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t="14.5" hidden="1" customHeight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t="14.5" hidden="1" customHeight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t="14.5" hidden="1" customHeight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t="14.5" hidden="1" customHeight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t="14.5" hidden="1" customHeight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t="14.5" hidden="1" customHeight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t="14.5" hidden="1" customHeight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t="14.5" hidden="1" customHeight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t="14.5" hidden="1" customHeight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t="14.5" hidden="1" customHeight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t="14.5" hidden="1" customHeight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t="14.5" hidden="1" customHeight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t="14.5" hidden="1" customHeight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t="14.5" hidden="1" customHeight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t="14.5" hidden="1" customHeight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t="14.5" hidden="1" customHeight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t="14.5" hidden="1" customHeight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t="14.5" hidden="1" customHeight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t="14.5" hidden="1" customHeight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t="14.5" hidden="1" customHeight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t="14.5" hidden="1" customHeight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t="14.5" hidden="1" customHeight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t="14.5" hidden="1" customHeight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t="14.5" hidden="1" customHeight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t="14.5" hidden="1" customHeight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t="14.5" hidden="1" customHeight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t="14.5" hidden="1" customHeight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t="14.5" hidden="1" customHeight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t="14.5" hidden="1" customHeight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t="14.5" hidden="1" customHeight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t="14.5" hidden="1" customHeight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t="14.5" hidden="1" customHeight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t="14.5" hidden="1" customHeight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t="14.5" hidden="1" customHeight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t="14.5" hidden="1" customHeight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t="14.5" hidden="1" customHeight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t="14.5" hidden="1" customHeight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t="14.5" hidden="1" customHeight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t="14.5" hidden="1" customHeight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t="14.5" hidden="1" customHeight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t="14.5" hidden="1" customHeight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t="14.5" hidden="1" customHeight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t="14.5" hidden="1" customHeight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t="14.5" hidden="1" customHeight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t="14.5" hidden="1" customHeight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t="14.5" hidden="1" customHeight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t="14.5" hidden="1" customHeight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t="14.5" hidden="1" customHeight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t="14.5" hidden="1" customHeight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t="14.5" hidden="1" customHeight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t="14.5" hidden="1" customHeight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t="14.5" hidden="1" customHeight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t="14.5" hidden="1" customHeight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t="14.5" hidden="1" customHeight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t="14.5" hidden="1" customHeight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t="14.5" hidden="1" customHeight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t="14.5" hidden="1" customHeight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t="14.5" hidden="1" customHeight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t="14.5" hidden="1" customHeight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t="14.5" hidden="1" customHeight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t="14.5" hidden="1" customHeight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t="14.5" hidden="1" customHeight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t="14.5" hidden="1" customHeight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t="14.5" hidden="1" customHeight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t="14.5" hidden="1" customHeight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t="14.5" hidden="1" customHeight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t="14.5" hidden="1" customHeight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t="14.5" hidden="1" customHeight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t="14.5" hidden="1" customHeight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t="14.5" hidden="1" customHeight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t="14.5" hidden="1" customHeight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t="14.5" hidden="1" customHeight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t="14.5" hidden="1" customHeight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t="14.5" hidden="1" customHeight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t="14.5" hidden="1" customHeight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t="14.5" hidden="1" customHeight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t="14.5" hidden="1" customHeight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t="14.5" hidden="1" customHeight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t="14.5" hidden="1" customHeight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t="14.5" hidden="1" customHeight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t="14.5" hidden="1" customHeight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t="14.5" hidden="1" customHeight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t="14.5" hidden="1" customHeight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t="14.5" hidden="1" customHeight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t="14.5" hidden="1" customHeight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t="14.5" hidden="1" customHeight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t="14.5" hidden="1" customHeight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t="14.5" hidden="1" customHeight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t="14.5" hidden="1" customHeight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t="14.5" hidden="1" customHeight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t="14.5" hidden="1" customHeight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t="14.5" hidden="1" customHeight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t="14.5" hidden="1" customHeight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t="14.5" hidden="1" customHeight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t="14.5" hidden="1" customHeight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t="14.5" hidden="1" customHeight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t="14.5" hidden="1" customHeight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t="14.5" hidden="1" customHeight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t="14.5" hidden="1" customHeight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t="14.5" hidden="1" customHeight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t="14.5" hidden="1" customHeight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t="14.5" hidden="1" customHeight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t="14.5" hidden="1" customHeight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t="14.5" hidden="1" customHeight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t="14.5" hidden="1" customHeight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t="14.5" hidden="1" customHeight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t="14.5" hidden="1" customHeight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t="14.5" hidden="1" customHeight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t="14.5" hidden="1" customHeight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t="14.5" hidden="1" customHeight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t="14.5" hidden="1" customHeight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t="14.5" hidden="1" customHeight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t="14.5" hidden="1" customHeight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t="14.5" hidden="1" customHeight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t="14.5" hidden="1" customHeight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t="14.5" hidden="1" customHeight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t="14.5" hidden="1" customHeight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t="14.5" hidden="1" customHeight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t="14.5" hidden="1" customHeight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t="14.5" hidden="1" customHeight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t="14.5" hidden="1" customHeight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t="14.5" hidden="1" customHeight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t="14.5" hidden="1" customHeight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t="14.5" hidden="1" customHeight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t="14.5" hidden="1" customHeight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t="14.5" hidden="1" customHeight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t="14.5" hidden="1" customHeight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t="14.5" hidden="1" customHeight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t="14.5" hidden="1" customHeight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t="14.5" hidden="1" customHeight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t="14.5" hidden="1" customHeight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t="14.5" hidden="1" customHeight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t="14.5" hidden="1" customHeight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t="14.5" hidden="1" customHeight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t="14.5" hidden="1" customHeight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t="14.5" hidden="1" customHeight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t="14.5" hidden="1" customHeight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t="14.5" hidden="1" customHeight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t="14.5" hidden="1" customHeight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t="14.5" hidden="1" customHeight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t="14.5" hidden="1" customHeight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t="14.5" hidden="1" customHeight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t="14.5" hidden="1" customHeight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t="14.5" hidden="1" customHeight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t="14.5" hidden="1" customHeight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t="14.5" hidden="1" customHeight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t="14.5" hidden="1" customHeight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t="14.5" hidden="1" customHeight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t="14.5" hidden="1" customHeight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t="14.5" hidden="1" customHeight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t="14.5" hidden="1" customHeight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t="14.5" hidden="1" customHeight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t="14.5" hidden="1" customHeight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t="14.5" hidden="1" customHeight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t="14.5" hidden="1" customHeight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t="14.5" hidden="1" customHeight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t="14.5" hidden="1" customHeight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t="14.5" hidden="1" customHeight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t="14.5" hidden="1" customHeight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t="14.5" hidden="1" customHeight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t="14.5" hidden="1" customHeight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t="14.5" hidden="1" customHeight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t="14.5" hidden="1" customHeight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t="14.5" hidden="1" customHeight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t="14.5" hidden="1" customHeight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t="14.5" hidden="1" customHeight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t="14.5" hidden="1" customHeight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t="14.5" hidden="1" customHeight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t="14.5" hidden="1" customHeight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t="14.5" hidden="1" customHeight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t="14.5" hidden="1" customHeight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t="14.5" hidden="1" customHeight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t="14.5" hidden="1" customHeight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t="14.5" hidden="1" customHeight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t="14.5" hidden="1" customHeight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t="14.5" hidden="1" customHeight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t="14.5" hidden="1" customHeight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t="14.5" hidden="1" customHeight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t="14.5" hidden="1" customHeight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t="14.5" hidden="1" customHeight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t="14.5" hidden="1" customHeight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t="14.5" hidden="1" customHeight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t="14.5" hidden="1" customHeight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t="14.5" hidden="1" customHeight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t="14.5" hidden="1" customHeight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t="14.5" hidden="1" customHeight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t="14.5" hidden="1" customHeight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t="14.5" hidden="1" customHeight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t="14.5" hidden="1" customHeight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t="14.5" hidden="1" customHeight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t="14.5" hidden="1" customHeight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t="14.5" hidden="1" customHeight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t="14.5" hidden="1" customHeight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t="14.5" hidden="1" customHeight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t="14.5" hidden="1" customHeight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t="14.5" hidden="1" customHeight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t="14.5" hidden="1" customHeight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t="14.5" hidden="1" customHeight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t="14.5" hidden="1" customHeight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t="14.5" hidden="1" customHeight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t="14.5" hidden="1" customHeight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t="14.5" hidden="1" customHeight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t="14.5" hidden="1" customHeight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t="14.5" hidden="1" customHeight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t="14.5" hidden="1" customHeight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t="14.5" hidden="1" customHeight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t="14.5" hidden="1" customHeight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t="14.5" hidden="1" customHeight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t="14.5" hidden="1" customHeight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t="14.5" hidden="1" customHeight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t="14.5" hidden="1" customHeight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t="14.5" hidden="1" customHeight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t="14.5" hidden="1" customHeight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t="14.5" hidden="1" customHeight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t="14.5" hidden="1" customHeight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t="14.5" hidden="1" customHeight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t="14.5" hidden="1" customHeight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t="14.5" hidden="1" customHeight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t="14.5" hidden="1" customHeight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t="14.5" hidden="1" customHeight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t="14.5" hidden="1" customHeight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t="14.5" hidden="1" customHeight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t="14.5" hidden="1" customHeight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t="14.5" hidden="1" customHeight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t="14.5" hidden="1" customHeight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t="14.5" hidden="1" customHeight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t="14.5" hidden="1" customHeight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t="14.5" hidden="1" customHeight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t="14.5" hidden="1" customHeight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t="14.5" hidden="1" customHeight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t="14.5" hidden="1" customHeight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t="14.5" hidden="1" customHeight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t="14.5" hidden="1" customHeight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t="14.5" hidden="1" customHeight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t="14.5" hidden="1" customHeight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t="14.5" hidden="1" customHeight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t="14.5" hidden="1" customHeight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t="14.5" hidden="1" customHeight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t="14.5" hidden="1" customHeight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t="14.5" hidden="1" customHeight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t="14.5" hidden="1" customHeight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t="14.5" hidden="1" customHeight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t="14.5" hidden="1" customHeight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t="14.5" hidden="1" customHeight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t="14.5" hidden="1" customHeight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t="14.5" hidden="1" customHeight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t="14.5" hidden="1" customHeight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t="14.5" hidden="1" customHeight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t="14.5" hidden="1" customHeight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t="14.5" hidden="1" customHeight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t="14.5" hidden="1" customHeight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t="14.5" hidden="1" customHeight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t="14.5" hidden="1" customHeight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t="14.5" hidden="1" customHeight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t="14.5" hidden="1" customHeight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t="14.5" hidden="1" customHeight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t="14.5" hidden="1" customHeight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t="14.5" hidden="1" customHeight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t="14.5" hidden="1" customHeight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t="14.5" hidden="1" customHeight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t="14.5" hidden="1" customHeight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t="14.5" hidden="1" customHeight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t="14.5" hidden="1" customHeight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t="14.5" hidden="1" customHeight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t="14.5" hidden="1" customHeight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t="14.5" hidden="1" customHeight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t="14.5" hidden="1" customHeight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t="14.5" hidden="1" customHeight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t="14.5" hidden="1" customHeight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t="14.5" hidden="1" customHeight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t="14.5" hidden="1" customHeight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t="14.5" hidden="1" customHeight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t="14.5" hidden="1" customHeight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t="14.5" hidden="1" customHeight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t="14.5" hidden="1" customHeight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t="14.5" hidden="1" customHeight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t="14.5" hidden="1" customHeight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t="14.5" hidden="1" customHeight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t="14.5" hidden="1" customHeight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t="14.5" hidden="1" customHeight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t="14.5" hidden="1" customHeight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t="14.5" hidden="1" customHeight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t="14.5" hidden="1" customHeight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t="14.5" hidden="1" customHeight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t="14.5" hidden="1" customHeight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t="14.5" hidden="1" customHeight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t="14.5" hidden="1" customHeight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t="14.5" hidden="1" customHeight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t="14.5" hidden="1" customHeight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t="14.5" hidden="1" customHeight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t="14.5" hidden="1" customHeight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t="14.5" hidden="1" customHeight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t="14.5" hidden="1" customHeight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t="14.5" hidden="1" customHeight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t="14.5" hidden="1" customHeight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t="14.5" hidden="1" customHeight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t="14.5" hidden="1" customHeight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t="14.5" hidden="1" customHeight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t="14.5" hidden="1" customHeight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t="14.5" hidden="1" customHeight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t="14.5" hidden="1" customHeight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t="14.5" hidden="1" customHeight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t="14.5" hidden="1" customHeight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t="14.5" hidden="1" customHeight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t="14.5" hidden="1" customHeight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t="14.5" hidden="1" customHeight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t="14.5" hidden="1" customHeight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t="14.5" hidden="1" customHeight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t="14.5" hidden="1" customHeight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t="14.5" hidden="1" customHeight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t="14.5" hidden="1" customHeight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t="14.5" hidden="1" customHeight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t="14.5" hidden="1" customHeight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t="14.5" hidden="1" customHeight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t="14.5" hidden="1" customHeight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t="14.5" hidden="1" customHeight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t="14.5" hidden="1" customHeight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t="14.5" hidden="1" customHeight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t="14.5" hidden="1" customHeight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t="14.5" hidden="1" customHeight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t="14.5" hidden="1" customHeight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t="14.5" hidden="1" customHeight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t="14.5" hidden="1" customHeight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t="14.5" hidden="1" customHeight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t="14.5" hidden="1" customHeight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t="14.5" hidden="1" customHeight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t="14.5" hidden="1" customHeight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t="14.5" hidden="1" customHeight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t="14.5" hidden="1" customHeight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t="14.5" hidden="1" customHeight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t="14.5" hidden="1" customHeight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t="14.5" hidden="1" customHeight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t="14.5" hidden="1" customHeight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t="14.5" hidden="1" customHeight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t="14.5" hidden="1" customHeight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t="14.5" hidden="1" customHeight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t="14.5" hidden="1" customHeight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t="14.5" hidden="1" customHeight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t="14.5" hidden="1" customHeight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t="14.5" hidden="1" customHeight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t="14.5" hidden="1" customHeight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t="14.5" hidden="1" customHeight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t="14.5" hidden="1" customHeight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t="14.5" hidden="1" customHeight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t="14.5" hidden="1" customHeight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t="14.5" hidden="1" customHeight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t="14.5" hidden="1" customHeight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t="14.5" hidden="1" customHeight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t="14.5" hidden="1" customHeight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t="14.5" hidden="1" customHeight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t="14.5" hidden="1" customHeight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t="14.5" hidden="1" customHeight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t="14.5" hidden="1" customHeight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t="14.5" hidden="1" customHeight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t="14.5" hidden="1" customHeight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t="14.5" hidden="1" customHeight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t="14.5" hidden="1" customHeight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t="14.5" hidden="1" customHeight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t="14.5" hidden="1" customHeight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t="14.5" hidden="1" customHeight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t="14.5" hidden="1" customHeight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t="14.5" hidden="1" customHeight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t="14.5" hidden="1" customHeight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t="14.5" hidden="1" customHeight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t="14.5" hidden="1" customHeight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t="14.5" hidden="1" customHeight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t="14.5" hidden="1" customHeight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t="14.5" hidden="1" customHeight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t="14.5" hidden="1" customHeight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t="14.5" hidden="1" customHeight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t="14.5" hidden="1" customHeight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t="14.5" hidden="1" customHeight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t="14.5" hidden="1" customHeight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t="14.5" hidden="1" customHeight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t="14.5" hidden="1" customHeight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t="14.5" hidden="1" customHeight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t="14.5" hidden="1" customHeight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t="14.5" hidden="1" customHeight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t="14.5" hidden="1" customHeight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t="14.5" hidden="1" customHeight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t="14.5" hidden="1" customHeight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t="14.5" hidden="1" customHeight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t="14.5" hidden="1" customHeight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t="14.5" hidden="1" customHeight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t="14.5" hidden="1" customHeight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t="14.5" hidden="1" customHeight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t="14.5" hidden="1" customHeight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t="14.5" hidden="1" customHeight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t="14.5" hidden="1" customHeight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t="14.5" hidden="1" customHeight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t="14.5" hidden="1" customHeight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t="14.5" hidden="1" customHeight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t="14.5" hidden="1" customHeight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t="14.5" hidden="1" customHeight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t="14.5" hidden="1" customHeight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t="14.5" hidden="1" customHeight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t="14.5" hidden="1" customHeight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t="14.5" hidden="1" customHeight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t="14.5" hidden="1" customHeight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t="14.5" hidden="1" customHeight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t="14.5" hidden="1" customHeight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t="14.5" hidden="1" customHeight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t="14.5" hidden="1" customHeight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t="14.5" hidden="1" customHeight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t="14.5" hidden="1" customHeight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t="14.5" hidden="1" customHeight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t="14.5" hidden="1" customHeight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t="14.5" hidden="1" customHeight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t="14.5" hidden="1" customHeight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t="14.5" hidden="1" customHeight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t="14.5" hidden="1" customHeight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t="14.5" hidden="1" customHeight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t="14.5" hidden="1" customHeight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t="14.5" hidden="1" customHeight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t="14.5" hidden="1" customHeight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t="14.5" hidden="1" customHeight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t="14.5" hidden="1" customHeight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t="14.5" hidden="1" customHeight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t="14.5" hidden="1" customHeight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t="14.5" hidden="1" customHeight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t="14.5" hidden="1" customHeight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t="14.5" hidden="1" customHeight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t="14.5" hidden="1" customHeight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t="14.5" hidden="1" customHeight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t="14.5" hidden="1" customHeight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t="14.5" hidden="1" customHeight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t="14.5" hidden="1" customHeight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t="14.5" hidden="1" customHeight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t="14.5" hidden="1" customHeight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t="14.5" hidden="1" customHeight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t="14.5" hidden="1" customHeight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t="14.5" hidden="1" customHeight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t="14.5" hidden="1" customHeight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t="14.5" hidden="1" customHeight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t="14.5" hidden="1" customHeight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t="14.5" hidden="1" customHeight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t="14.5" hidden="1" customHeight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t="14.5" hidden="1" customHeight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t="14.5" hidden="1" customHeight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t="14.5" hidden="1" customHeight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t="14.5" hidden="1" customHeight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t="14.5" hidden="1" customHeight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t="14.5" hidden="1" customHeight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t="14.5" hidden="1" customHeight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t="14.5" hidden="1" customHeight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t="14.5" hidden="1" customHeight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t="14.5" hidden="1" customHeight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t="14.5" hidden="1" customHeight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t="14.5" hidden="1" customHeight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t="14.5" hidden="1" customHeight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t="14.5" hidden="1" customHeight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t="14.5" hidden="1" customHeight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t="14.5" hidden="1" customHeight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t="14.5" hidden="1" customHeight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t="14.5" hidden="1" customHeight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t="14.5" hidden="1" customHeight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t="14.5" hidden="1" customHeight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t="14.5" hidden="1" customHeight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t="14.5" hidden="1" customHeight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t="14.5" hidden="1" customHeight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t="14.5" hidden="1" customHeight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t="14.5" hidden="1" customHeight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t="14.5" hidden="1" customHeight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t="14.5" hidden="1" customHeight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t="14.5" hidden="1" customHeight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t="14.5" hidden="1" customHeight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t="14.5" hidden="1" customHeight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t="14.5" hidden="1" customHeight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t="14.5" hidden="1" customHeight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t="14.5" hidden="1" customHeight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t="14.5" hidden="1" customHeight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t="14.5" hidden="1" customHeight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t="14.5" hidden="1" customHeight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t="14.5" hidden="1" customHeight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t="14.5" hidden="1" customHeight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t="14.5" hidden="1" customHeight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t="14.5" hidden="1" customHeight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t="14.5" hidden="1" customHeight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t="14.5" hidden="1" customHeight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t="14.5" hidden="1" customHeight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t="14.5" hidden="1" customHeight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t="14.5" hidden="1" customHeight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t="14.5" hidden="1" customHeight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t="14.5" hidden="1" customHeight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t="14.5" hidden="1" customHeight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t="14.5" hidden="1" customHeight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t="14.5" hidden="1" customHeight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t="14.5" hidden="1" customHeight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t="14.5" hidden="1" customHeight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t="14.5" hidden="1" customHeight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t="14.5" hidden="1" customHeight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t="14.5" hidden="1" customHeight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t="14.5" hidden="1" customHeight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t="14.5" hidden="1" customHeight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t="14.5" hidden="1" customHeight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t="14.5" hidden="1" customHeight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t="14.5" hidden="1" customHeight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t="14.5" hidden="1" customHeight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t="14.5" hidden="1" customHeight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t="14.5" hidden="1" customHeight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t="14.5" hidden="1" customHeight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t="14.5" hidden="1" customHeight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t="14.5" hidden="1" customHeight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t="14.5" hidden="1" customHeight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t="14.5" hidden="1" customHeight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t="14.5" hidden="1" customHeight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t="14.5" hidden="1" customHeight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t="14.5" hidden="1" customHeight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t="14.5" hidden="1" customHeight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t="14.5" hidden="1" customHeight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t="14.5" hidden="1" customHeight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t="14.5" hidden="1" customHeight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t="14.5" hidden="1" customHeight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t="14.5" hidden="1" customHeight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t="14.5" hidden="1" customHeight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t="14.5" hidden="1" customHeight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t="14.5" hidden="1" customHeight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t="14.5" hidden="1" customHeight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t="14.5" hidden="1" customHeight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t="14.5" hidden="1" customHeight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t="14.5" hidden="1" customHeight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t="14.5" hidden="1" customHeight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t="14.5" hidden="1" customHeight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t="14.5" hidden="1" customHeight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t="14.5" hidden="1" customHeight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t="14.5" hidden="1" customHeight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t="14.5" hidden="1" customHeight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t="14.5" hidden="1" customHeight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t="14.5" hidden="1" customHeight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t="14.5" hidden="1" customHeight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t="14.5" hidden="1" customHeight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t="14.5" hidden="1" customHeight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t="14.5" hidden="1" customHeight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t="14.5" hidden="1" customHeight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t="14.5" hidden="1" customHeight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t="14.5" hidden="1" customHeight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t="14.5" hidden="1" customHeight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t="14.5" hidden="1" customHeight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t="14.5" hidden="1" customHeight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t="14.5" hidden="1" customHeight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t="14.5" hidden="1" customHeight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t="14.5" hidden="1" customHeight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t="14.5" hidden="1" customHeight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t="14.5" hidden="1" customHeight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t="14.5" hidden="1" customHeight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t="14.5" hidden="1" customHeight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t="14.5" hidden="1" customHeight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t="14.5" hidden="1" customHeight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t="14.5" hidden="1" customHeight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t="14.5" hidden="1" customHeight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t="14.5" hidden="1" customHeight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t="14.5" hidden="1" customHeight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t="14.5" hidden="1" customHeight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t="14.5" hidden="1" customHeight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t="14.5" hidden="1" customHeight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t="14.5" hidden="1" customHeight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t="14.5" hidden="1" customHeight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t="14.5" hidden="1" customHeight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t="14.5" hidden="1" customHeight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t="14.5" hidden="1" customHeight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t="14.5" hidden="1" customHeight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t="14.5" hidden="1" customHeight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t="14.5" hidden="1" customHeight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t="14.5" hidden="1" customHeight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t="14.5" hidden="1" customHeight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t="14.5" hidden="1" customHeight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t="14.5" hidden="1" customHeight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t="14.5" hidden="1" customHeight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t="14.5" hidden="1" customHeight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t="14.5" hidden="1" customHeight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t="14.5" hidden="1" customHeight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t="14.5" hidden="1" customHeight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t="14.5" hidden="1" customHeight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t="14.5" hidden="1" customHeight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t="14.5" hidden="1" customHeight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t="14.5" hidden="1" customHeight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t="14.5" hidden="1" customHeight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t="14.5" hidden="1" customHeight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t="14.5" hidden="1" customHeight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t="14.5" hidden="1" customHeight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t="14.5" hidden="1" customHeight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t="14.5" hidden="1" customHeight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t="14.5" hidden="1" customHeight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t="14.5" hidden="1" customHeight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t="14.5" hidden="1" customHeight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t="14.5" hidden="1" customHeight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t="14.5" hidden="1" customHeight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t="14.5" hidden="1" customHeight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t="14.5" hidden="1" customHeight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t="14.5" hidden="1" customHeight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t="14.5" hidden="1" customHeight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t="14.5" hidden="1" customHeight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t="14.5" hidden="1" customHeight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t="14.5" hidden="1" customHeight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t="14.5" hidden="1" customHeight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t="14.5" hidden="1" customHeight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t="14.5" hidden="1" customHeight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t="14.5" hidden="1" customHeight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t="14.5" hidden="1" customHeight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t="14.5" hidden="1" customHeight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t="14.5" hidden="1" customHeight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t="14.5" hidden="1" customHeight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t="14.5" hidden="1" customHeight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t="14.5" hidden="1" customHeight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t="14.5" hidden="1" customHeight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t="14.5" hidden="1" customHeight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t="14.5" hidden="1" customHeight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t="14.5" hidden="1" customHeight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t="14.5" hidden="1" customHeight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t="14.5" hidden="1" customHeight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t="14.5" hidden="1" customHeight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t="14.5" hidden="1" customHeight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t="14.5" hidden="1" customHeight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t="14.5" hidden="1" customHeight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t="14.5" hidden="1" customHeight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t="14.5" hidden="1" customHeight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t="14.5" hidden="1" customHeight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t="14.5" hidden="1" customHeight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t="14.5" hidden="1" customHeight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t="14.5" hidden="1" customHeight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t="14.5" hidden="1" customHeight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t="14.5" hidden="1" customHeight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t="14.5" hidden="1" customHeight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t="14.5" hidden="1" customHeight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t="14.5" hidden="1" customHeight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t="14.5" hidden="1" customHeight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t="14.5" hidden="1" customHeight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t="14.5" hidden="1" customHeight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t="14.5" hidden="1" customHeight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t="14.5" hidden="1" customHeight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t="14.5" hidden="1" customHeight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t="14.5" hidden="1" customHeight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t="14.5" hidden="1" customHeight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t="14.5" hidden="1" customHeight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t="14.5" hidden="1" customHeight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t="14.5" hidden="1" customHeight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t="14.5" hidden="1" customHeight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t="14.5" hidden="1" customHeight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t="14.5" hidden="1" customHeight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t="14.5" hidden="1" customHeight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t="14.5" hidden="1" customHeight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t="14.5" hidden="1" customHeight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t="14.5" hidden="1" customHeight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t="14.5" hidden="1" customHeight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t="14.5" hidden="1" customHeight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t="14.5" hidden="1" customHeight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t="14.5" hidden="1" customHeight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t="14.5" hidden="1" customHeight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t="14.5" hidden="1" customHeight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t="14.5" hidden="1" customHeight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t="14.5" hidden="1" customHeight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t="14.5" hidden="1" customHeight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t="14.5" hidden="1" customHeight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t="14.5" hidden="1" customHeight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t="14.5" hidden="1" customHeight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t="14.5" hidden="1" customHeight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t="14.5" hidden="1" customHeight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t="14.5" hidden="1" customHeight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t="14.5" hidden="1" customHeight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t="14.5" hidden="1" customHeight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t="14.5" hidden="1" customHeight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t="14.5" hidden="1" customHeight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t="14.5" hidden="1" customHeight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t="14.5" hidden="1" customHeight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t="14.5" hidden="1" customHeight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t="14.5" hidden="1" customHeight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t="14.5" hidden="1" customHeight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t="14.5" hidden="1" customHeight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t="14.5" hidden="1" customHeight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t="14.5" hidden="1" customHeight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t="14.5" hidden="1" customHeight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t="14.5" hidden="1" customHeight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t="14.5" hidden="1" customHeight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t="14.5" hidden="1" customHeight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t="14.5" hidden="1" customHeight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t="14.5" hidden="1" customHeight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t="14.5" hidden="1" customHeight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t="14.5" hidden="1" customHeight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t="14.5" hidden="1" customHeight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t="14.5" hidden="1" customHeight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t="14.5" hidden="1" customHeight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t="14.5" hidden="1" customHeight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t="14.5" hidden="1" customHeight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t="14.5" hidden="1" customHeight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t="14.5" hidden="1" customHeight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t="14.5" hidden="1" customHeight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t="14.5" hidden="1" customHeight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t="14.5" hidden="1" customHeight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t="14.5" hidden="1" customHeight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t="14.5" hidden="1" customHeight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t="14.5" hidden="1" customHeight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t="14.5" hidden="1" customHeight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t="14.5" hidden="1" customHeight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t="14.5" hidden="1" customHeight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t="14.5" hidden="1" customHeight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t="14.5" hidden="1" customHeight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t="14.5" hidden="1" customHeight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t="14.5" hidden="1" customHeight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t="14.5" hidden="1" customHeight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t="14.5" hidden="1" customHeight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t="14.5" hidden="1" customHeight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t="14.5" hidden="1" customHeight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t="14.5" hidden="1" customHeight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t="14.5" hidden="1" customHeight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t="14.5" hidden="1" customHeight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t="14.5" hidden="1" customHeight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t="14.5" hidden="1" customHeight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t="14.5" hidden="1" customHeight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t="14.5" hidden="1" customHeight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t="14.5" hidden="1" customHeight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t="14.5" hidden="1" customHeight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t="14.5" hidden="1" customHeight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t="14.5" hidden="1" customHeight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t="14.5" hidden="1" customHeight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t="14.5" hidden="1" customHeight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t="14.5" hidden="1" customHeight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t="14.5" hidden="1" customHeight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t="14.5" hidden="1" customHeight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t="14.5" hidden="1" customHeight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t="14.5" hidden="1" customHeight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t="14.5" hidden="1" customHeight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t="14.5" hidden="1" customHeight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t="14.5" hidden="1" customHeight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t="14.5" hidden="1" customHeight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t="14.5" hidden="1" customHeight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t="14.5" hidden="1" customHeight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t="14.5" hidden="1" customHeight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t="14.5" hidden="1" customHeight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t="14.5" hidden="1" customHeight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t="14.5" hidden="1" customHeight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t="14.5" hidden="1" customHeight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t="14.5" hidden="1" customHeight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t="14.5" hidden="1" customHeight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t="14.5" hidden="1" customHeight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t="14.5" hidden="1" customHeight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t="14.5" hidden="1" customHeight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t="14.5" hidden="1" customHeight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t="14.5" hidden="1" customHeight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t="14.5" hidden="1" customHeight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t="14.5" hidden="1" customHeight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t="14.5" hidden="1" customHeight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t="14.5" hidden="1" customHeight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t="14.5" hidden="1" customHeight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t="14.5" hidden="1" customHeight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t="14.5" hidden="1" customHeight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t="14.5" hidden="1" customHeight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t="14.5" hidden="1" customHeight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t="14.5" hidden="1" customHeight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t="14.5" hidden="1" customHeight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t="14.5" hidden="1" customHeight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t="14.5" hidden="1" customHeight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t="14.5" hidden="1" customHeight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t="14.5" hidden="1" customHeight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t="14.5" hidden="1" customHeight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t="14.5" hidden="1" customHeight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t="14.5" hidden="1" customHeight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t="14.5" hidden="1" customHeight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t="14.5" hidden="1" customHeight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t="14.5" hidden="1" customHeight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t="14.5" hidden="1" customHeight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t="14.5" hidden="1" customHeight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t="14.5" hidden="1" customHeight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t="14.5" hidden="1" customHeight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t="14.5" hidden="1" customHeight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t="14.5" hidden="1" customHeight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t="14.5" hidden="1" customHeight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t="14.5" hidden="1" customHeight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t="14.5" hidden="1" customHeight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t="14.5" hidden="1" customHeight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t="14.5" hidden="1" customHeight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t="14.5" hidden="1" customHeight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t="14.5" hidden="1" customHeight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t="14.5" hidden="1" customHeight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t="14.5" hidden="1" customHeight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t="14.5" hidden="1" customHeight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t="14.5" hidden="1" customHeight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t="14.5" hidden="1" customHeight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t="14.5" hidden="1" customHeight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t="14.5" hidden="1" customHeight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t="14.5" hidden="1" customHeight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t="14.5" hidden="1" customHeight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t="14.5" hidden="1" customHeight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t="14.5" hidden="1" customHeight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t="14.5" hidden="1" customHeight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t="14.5" hidden="1" customHeight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t="14.5" hidden="1" customHeight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t="14.5" hidden="1" customHeight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t="14.5" hidden="1" customHeight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t="14.5" hidden="1" customHeight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t="14.5" hidden="1" customHeight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t="14.5" hidden="1" customHeight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t="14.5" hidden="1" customHeight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t="14.5" hidden="1" customHeight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t="14.5" hidden="1" customHeight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t="14.5" hidden="1" customHeight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t="14.5" hidden="1" customHeight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t="14.5" hidden="1" customHeight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t="14.5" hidden="1" customHeight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t="14.5" hidden="1" customHeight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t="14.5" hidden="1" customHeight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t="14.5" hidden="1" customHeight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t="14.5" hidden="1" customHeight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t="14.5" hidden="1" customHeight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t="14.5" hidden="1" customHeight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t="14.5" hidden="1" customHeight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t="14.5" hidden="1" customHeight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t="14.5" hidden="1" customHeight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t="14.5" hidden="1" customHeight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t="14.5" hidden="1" customHeight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t="14.5" hidden="1" customHeight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t="14.5" hidden="1" customHeight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t="14.5" hidden="1" customHeight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t="14.5" hidden="1" customHeight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t="14.5" hidden="1" customHeight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t="14.5" hidden="1" customHeight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t="14.5" hidden="1" customHeight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t="14.5" hidden="1" customHeight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t="14.5" hidden="1" customHeight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t="14.5" hidden="1" customHeight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t="14.5" hidden="1" customHeight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t="14.5" hidden="1" customHeight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t="14.5" hidden="1" customHeight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t="14.5" hidden="1" customHeight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t="14.5" hidden="1" customHeight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t="14.5" hidden="1" customHeight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t="14.5" hidden="1" customHeight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t="14.5" hidden="1" customHeight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t="14.5" hidden="1" customHeight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t="14.5" hidden="1" customHeight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t="14.5" hidden="1" customHeight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t="14.5" hidden="1" customHeight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t="14.5" hidden="1" customHeight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t="14.5" hidden="1" customHeight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t="14.5" hidden="1" customHeight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t="14.5" hidden="1" customHeight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t="14.5" hidden="1" customHeight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t="14.5" hidden="1" customHeight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t="14.5" hidden="1" customHeight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t="14.5" hidden="1" customHeight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t="14.5" hidden="1" customHeight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t="14.5" hidden="1" customHeight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t="14.5" hidden="1" customHeight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t="14.5" hidden="1" customHeight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t="14.5" hidden="1" customHeight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t="14.5" hidden="1" customHeight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t="14.5" hidden="1" customHeight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t="14.5" hidden="1" customHeight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t="14.5" hidden="1" customHeight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t="14.5" hidden="1" customHeight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t="14.5" hidden="1" customHeight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t="14.5" hidden="1" customHeight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t="14.5" hidden="1" customHeight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t="14.5" hidden="1" customHeight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t="14.5" hidden="1" customHeight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t="14.5" hidden="1" customHeight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t="14.5" hidden="1" customHeight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t="14.5" hidden="1" customHeight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t="14.5" hidden="1" customHeight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t="14.5" hidden="1" customHeight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t="14.5" hidden="1" customHeight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t="14.5" hidden="1" customHeight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t="14.5" hidden="1" customHeight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t="14.5" hidden="1" customHeight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t="14.5" hidden="1" customHeight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t="14.5" hidden="1" customHeight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t="14.5" hidden="1" customHeight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t="14.5" hidden="1" customHeight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t="14.5" hidden="1" customHeight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t="14.5" hidden="1" customHeight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t="14.5" hidden="1" customHeight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t="14.5" hidden="1" customHeight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t="14.5" hidden="1" customHeight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t="14.5" hidden="1" customHeight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t="14.5" hidden="1" customHeight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t="14.5" hidden="1" customHeight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t="14.5" hidden="1" customHeight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t="14.5" hidden="1" customHeight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t="14.5" hidden="1" customHeight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t="14.5" hidden="1" customHeight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t="14.5" hidden="1" customHeight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t="14.5" hidden="1" customHeight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t="14.5" hidden="1" customHeight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t="14.5" hidden="1" customHeight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t="14.5" hidden="1" customHeight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t="14.5" hidden="1" customHeight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t="14.5" hidden="1" customHeight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t="14.5" hidden="1" customHeight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t="14.5" hidden="1" customHeight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t="14.5" hidden="1" customHeight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t="14.5" hidden="1" customHeight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t="14.5" hidden="1" customHeight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t="14.5" hidden="1" customHeight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t="14.5" hidden="1" customHeight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t="14.5" hidden="1" customHeight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t="14.5" hidden="1" customHeight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t="14.5" hidden="1" customHeight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t="14.5" hidden="1" customHeight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t="14.5" hidden="1" customHeight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t="14.5" hidden="1" customHeight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t="14.5" hidden="1" customHeight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t="14.5" hidden="1" customHeight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t="14.5" hidden="1" customHeight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t="14.5" hidden="1" customHeight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t="14.5" hidden="1" customHeight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t="14.5" hidden="1" customHeight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t="14.5" hidden="1" customHeight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t="14.5" hidden="1" customHeight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t="14.5" hidden="1" customHeight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t="14.5" hidden="1" customHeight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t="14.5" hidden="1" customHeight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t="14.5" hidden="1" customHeight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t="14.5" hidden="1" customHeight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t="14.5" hidden="1" customHeight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t="14.5" hidden="1" customHeight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t="14.5" hidden="1" customHeight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t="14.5" hidden="1" customHeight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t="14.5" hidden="1" customHeight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t="14.5" hidden="1" customHeight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t="14.5" hidden="1" customHeight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t="14.5" hidden="1" customHeight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t="14.5" hidden="1" customHeight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t="14.5" hidden="1" customHeight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t="14.5" hidden="1" customHeight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t="14.5" hidden="1" customHeight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t="14.5" hidden="1" customHeight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t="14.5" hidden="1" customHeight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t="14.5" hidden="1" customHeight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t="14.5" hidden="1" customHeight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t="14.5" hidden="1" customHeight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t="14.5" hidden="1" customHeight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t="14.5" hidden="1" customHeight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t="14.5" hidden="1" customHeight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t="14.5" hidden="1" customHeight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t="14.5" hidden="1" customHeight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t="14.5" hidden="1" customHeight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t="14.5" hidden="1" customHeight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t="14.5" hidden="1" customHeight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t="14.5" hidden="1" customHeight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t="14.5" hidden="1" customHeight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t="14.5" hidden="1" customHeight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t="14.5" hidden="1" customHeight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t="14.5" hidden="1" customHeight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t="14.5" hidden="1" customHeight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t="14.5" hidden="1" customHeight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t="14.5" hidden="1" customHeight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t="14.5" hidden="1" customHeight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t="14.5" hidden="1" customHeight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t="14.5" hidden="1" customHeight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t="14.5" hidden="1" customHeight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t="14.5" hidden="1" customHeight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t="14.5" hidden="1" customHeight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t="14.5" hidden="1" customHeight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t="14.5" hidden="1" customHeight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t="14.5" hidden="1" customHeight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t="14.5" hidden="1" customHeight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t="14.5" hidden="1" customHeight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t="14.5" hidden="1" customHeight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t="14.5" hidden="1" customHeight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t="14.5" hidden="1" customHeight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t="14.5" hidden="1" customHeight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t="14.5" hidden="1" customHeight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t="14.5" hidden="1" customHeight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t="14.5" hidden="1" customHeight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t="14.5" hidden="1" customHeight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t="14.5" hidden="1" customHeight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t="14.5" hidden="1" customHeight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t="14.5" hidden="1" customHeight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t="14.5" hidden="1" customHeight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t="14.5" hidden="1" customHeight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t="14.5" hidden="1" customHeight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t="14.5" hidden="1" customHeight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t="14.5" hidden="1" customHeight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t="14.5" hidden="1" customHeight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t="14.5" hidden="1" customHeight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t="14.5" hidden="1" customHeight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t="14.5" hidden="1" customHeight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t="14.5" hidden="1" customHeight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t="14.5" hidden="1" customHeight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t="14.5" hidden="1" customHeight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t="14.5" hidden="1" customHeight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t="14.5" hidden="1" customHeight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t="14.5" hidden="1" customHeight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t="14.5" hidden="1" customHeight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t="14.5" hidden="1" customHeight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t="14.5" hidden="1" customHeight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t="14.5" hidden="1" customHeight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t="14.5" hidden="1" customHeight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t="14.5" hidden="1" customHeight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t="14.5" hidden="1" customHeight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t="14.5" hidden="1" customHeight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t="14.5" hidden="1" customHeight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t="14.5" hidden="1" customHeight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t="14.5" hidden="1" customHeight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t="14.5" hidden="1" customHeight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t="14.5" hidden="1" customHeight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t="14.5" hidden="1" customHeight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t="14.5" hidden="1" customHeight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t="14.5" hidden="1" customHeight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t="14.5" hidden="1" customHeight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t="14.5" hidden="1" customHeight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t="14.5" hidden="1" customHeight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t="14.5" hidden="1" customHeight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t="14.5" hidden="1" customHeight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t="14.5" hidden="1" customHeight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t="14.5" hidden="1" customHeight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t="14.5" hidden="1" customHeight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t="14.5" hidden="1" customHeight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t="14.5" hidden="1" customHeight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t="14.5" hidden="1" customHeight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t="14.5" hidden="1" customHeight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t="14.5" hidden="1" customHeight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t="14.5" hidden="1" customHeight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t="14.5" hidden="1" customHeight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t="14.5" hidden="1" customHeight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t="14.5" hidden="1" customHeight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t="14.5" hidden="1" customHeight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t="14.5" hidden="1" customHeight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t="14.5" hidden="1" customHeight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t="14.5" hidden="1" customHeight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t="14.5" hidden="1" customHeight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t="14.5" hidden="1" customHeight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t="14.5" hidden="1" customHeight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t="14.5" hidden="1" customHeight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t="14.5" hidden="1" customHeight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t="14.5" hidden="1" customHeight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t="14.5" hidden="1" customHeight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t="14.5" hidden="1" customHeight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t="14.5" hidden="1" customHeight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t="14.5" hidden="1" customHeight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t="14.5" hidden="1" customHeight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t="14.5" hidden="1" customHeight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t="14.5" hidden="1" customHeight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t="14.5" hidden="1" customHeight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t="14.5" hidden="1" customHeight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t="14.5" hidden="1" customHeight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t="14.5" hidden="1" customHeight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t="14.5" hidden="1" customHeight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t="14.5" hidden="1" customHeight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t="14.5" hidden="1" customHeight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t="14.5" hidden="1" customHeight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t="14.5" hidden="1" customHeight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t="14.5" hidden="1" customHeight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t="14.5" hidden="1" customHeight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t="14.5" hidden="1" customHeight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t="14.5" hidden="1" customHeight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t="14.5" hidden="1" customHeight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t="14.5" hidden="1" customHeight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t="14.5" hidden="1" customHeight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t="14.5" hidden="1" customHeight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t="14.5" hidden="1" customHeight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t="14.5" hidden="1" customHeight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t="14.5" hidden="1" customHeight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t="14.5" hidden="1" customHeight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t="14.5" hidden="1" customHeight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t="14.5" hidden="1" customHeight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t="14.5" hidden="1" customHeight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t="14.5" hidden="1" customHeight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t="14.5" hidden="1" customHeight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t="14.5" hidden="1" customHeight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t="14.5" hidden="1" customHeight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t="14.5" hidden="1" customHeight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t="14.5" hidden="1" customHeight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t="14.5" hidden="1" customHeight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t="14.5" hidden="1" customHeight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t="14.5" hidden="1" customHeight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t="14.5" hidden="1" customHeight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t="14.5" hidden="1" customHeight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t="14.5" hidden="1" customHeight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t="14.5" hidden="1" customHeight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t="14.5" hidden="1" customHeight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t="14.5" hidden="1" customHeight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t="14.5" hidden="1" customHeight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t="14.5" hidden="1" customHeight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t="14.5" hidden="1" customHeight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t="14.5" hidden="1" customHeight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t="14.5" hidden="1" customHeight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t="14.5" hidden="1" customHeight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t="14.5" hidden="1" customHeight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t="14.5" hidden="1" customHeight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t="14.5" hidden="1" customHeight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t="14.5" hidden="1" customHeight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t="14.5" hidden="1" customHeight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t="14.5" hidden="1" customHeight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t="14.5" hidden="1" customHeight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t="14.5" hidden="1" customHeight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t="14.5" hidden="1" customHeight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t="14.5" hidden="1" customHeight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t="14.5" hidden="1" customHeight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t="14.5" hidden="1" customHeight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t="14.5" hidden="1" customHeight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t="14.5" hidden="1" customHeight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t="14.5" hidden="1" customHeight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t="14.5" hidden="1" customHeight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t="14.5" hidden="1" customHeight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t="14.5" hidden="1" customHeight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t="14.5" hidden="1" customHeight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t="14.5" hidden="1" customHeight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t="14.5" hidden="1" customHeight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t="14.5" hidden="1" customHeight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t="14.5" hidden="1" customHeight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t="14.5" hidden="1" customHeight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t="14.5" hidden="1" customHeight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t="14.5" hidden="1" customHeight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t="14.5" hidden="1" customHeight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t="14.5" hidden="1" customHeight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t="14.5" hidden="1" customHeight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t="14.5" hidden="1" customHeight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t="14.5" hidden="1" customHeight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t="14.5" hidden="1" customHeight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t="14.5" hidden="1" customHeight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t="14.5" hidden="1" customHeight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t="14.5" hidden="1" customHeight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t="14.5" hidden="1" customHeight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t="14.5" hidden="1" customHeight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t="14.5" hidden="1" customHeight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t="14.5" hidden="1" customHeight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t="14.5" hidden="1" customHeight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t="14.5" hidden="1" customHeight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t="14.5" hidden="1" customHeight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t="14.5" hidden="1" customHeight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t="14.5" hidden="1" customHeight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t="14.5" hidden="1" customHeight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t="14.5" hidden="1" customHeight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t="14.5" hidden="1" customHeight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t="14.5" hidden="1" customHeight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t="14.5" hidden="1" customHeight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t="14.5" hidden="1" customHeight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t="14.5" hidden="1" customHeight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t="14.5" hidden="1" customHeight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t="14.5" hidden="1" customHeight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t="14.5" hidden="1" customHeight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t="14.5" hidden="1" customHeight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t="14.5" hidden="1" customHeight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t="14.5" hidden="1" customHeight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t="14.5" hidden="1" customHeight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t="14.5" hidden="1" customHeight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t="14.5" hidden="1" customHeight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t="14.5" hidden="1" customHeight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t="14.5" hidden="1" customHeight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t="14.5" hidden="1" customHeight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t="14.5" hidden="1" customHeight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t="14.5" hidden="1" customHeight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t="14.5" hidden="1" customHeight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t="14.5" hidden="1" customHeight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t="14.5" hidden="1" customHeight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t="14.5" hidden="1" customHeight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t="14.5" hidden="1" customHeight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t="14.5" hidden="1" customHeight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t="14.5" hidden="1" customHeight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t="14.5" hidden="1" customHeight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t="14.5" hidden="1" customHeight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t="14.5" hidden="1" customHeight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t="14.5" hidden="1" customHeight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t="14.5" hidden="1" customHeight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t="14.5" hidden="1" customHeight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t="14.5" hidden="1" customHeight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t="14.5" hidden="1" customHeight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t="14.5" hidden="1" customHeight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t="14.5" hidden="1" customHeight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t="14.5" hidden="1" customHeight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t="14.5" hidden="1" customHeight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t="14.5" hidden="1" customHeight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t="14.5" hidden="1" customHeight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t="14.5" hidden="1" customHeight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t="14.5" hidden="1" customHeight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t="14.5" hidden="1" customHeight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t="14.5" hidden="1" customHeight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t="14.5" hidden="1" customHeight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t="14.5" hidden="1" customHeight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t="14.5" hidden="1" customHeight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t="14.5" hidden="1" customHeight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t="14.5" hidden="1" customHeight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t="14.5" hidden="1" customHeight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t="14.5" hidden="1" customHeight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t="14.5" hidden="1" customHeight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t="14.5" hidden="1" customHeight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t="14.5" hidden="1" customHeight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t="14.5" hidden="1" customHeight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t="14.5" hidden="1" customHeight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t="14.5" hidden="1" customHeight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t="14.5" hidden="1" customHeight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t="14.5" hidden="1" customHeight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t="14.5" hidden="1" customHeight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t="14.5" hidden="1" customHeight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t="14.5" hidden="1" customHeight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t="14.5" hidden="1" customHeight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t="14.5" hidden="1" customHeight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t="14.5" hidden="1" customHeight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t="14.5" hidden="1" customHeight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t="14.5" hidden="1" customHeight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t="14.5" hidden="1" customHeight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t="14.5" hidden="1" customHeight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t="14.5" hidden="1" customHeight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t="14.5" hidden="1" customHeight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t="14.5" hidden="1" customHeight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t="14.5" hidden="1" customHeight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t="14.5" hidden="1" customHeight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t="14.5" hidden="1" customHeight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t="14.5" hidden="1" customHeight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t="14.5" hidden="1" customHeight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t="14.5" hidden="1" customHeight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t="14.5" hidden="1" customHeight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t="14.5" hidden="1" customHeight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t="14.5" hidden="1" customHeight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t="14.5" hidden="1" customHeight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t="14.5" hidden="1" customHeight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t="14.5" hidden="1" customHeight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t="14.5" hidden="1" customHeight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t="14.5" hidden="1" customHeight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t="14.5" hidden="1" customHeight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t="14.5" hidden="1" customHeight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t="14.5" hidden="1" customHeight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t="14.5" hidden="1" customHeight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t="14.5" hidden="1" customHeight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t="14.5" hidden="1" customHeight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t="14.5" hidden="1" customHeight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t="14.5" hidden="1" customHeight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t="14.5" hidden="1" customHeight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t="14.5" hidden="1" customHeight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t="14.5" hidden="1" customHeight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t="14.5" hidden="1" customHeight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t="14.5" hidden="1" customHeight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t="14.5" hidden="1" customHeight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t="14.5" hidden="1" customHeight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t="14.5" hidden="1" customHeight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t="14.5" hidden="1" customHeight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t="14.5" hidden="1" customHeight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t="14.5" hidden="1" customHeight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t="14.5" hidden="1" customHeight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t="14.5" hidden="1" customHeight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t="14.5" hidden="1" customHeight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t="14.5" hidden="1" customHeight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t="14.5" hidden="1" customHeight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t="14.5" hidden="1" customHeight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t="14.5" hidden="1" customHeight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t="14.5" hidden="1" customHeight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t="14.5" hidden="1" customHeight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t="14.5" hidden="1" customHeight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t="14.5" hidden="1" customHeight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t="14.5" hidden="1" customHeight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t="14.5" hidden="1" customHeight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t="14.5" hidden="1" customHeight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t="14.5" hidden="1" customHeight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t="14.5" hidden="1" customHeight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t="14.5" hidden="1" customHeight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t="14.5" hidden="1" customHeight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t="14.5" hidden="1" customHeight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t="14.5" hidden="1" customHeight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t="14.5" hidden="1" customHeight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t="14.5" hidden="1" customHeight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t="14.5" hidden="1" customHeight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t="14.5" hidden="1" customHeight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t="14.5" hidden="1" customHeight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t="14.5" hidden="1" customHeight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t="14.5" hidden="1" customHeight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t="14.5" hidden="1" customHeight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t="14.5" hidden="1" customHeight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t="14.5" hidden="1" customHeight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t="14.5" hidden="1" customHeight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t="14.5" hidden="1" customHeight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t="14.5" hidden="1" customHeight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t="14.5" hidden="1" customHeight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t="14.5" hidden="1" customHeight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t="14.5" hidden="1" customHeight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t="14.5" hidden="1" customHeight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t="14.5" hidden="1" customHeight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t="14.5" hidden="1" customHeight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t="14.5" hidden="1" customHeight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t="14.5" hidden="1" customHeight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t="14.5" hidden="1" customHeight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t="14.5" hidden="1" customHeight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t="14.5" hidden="1" customHeight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t="14.5" hidden="1" customHeight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t="14.5" hidden="1" customHeight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t="14.5" hidden="1" customHeight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t="14.5" hidden="1" customHeight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t="14.5" hidden="1" customHeight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t="14.5" hidden="1" customHeight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t="14.5" hidden="1" customHeight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t="14.5" hidden="1" customHeight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t="14.5" hidden="1" customHeight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t="14.5" hidden="1" customHeight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t="14.5" hidden="1" customHeight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t="14.5" hidden="1" customHeight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t="14.5" hidden="1" customHeight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t="14.5" hidden="1" customHeight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t="14.5" hidden="1" customHeight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t="14.5" hidden="1" customHeight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t="14.5" hidden="1" customHeight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t="14.5" hidden="1" customHeight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t="14.5" hidden="1" customHeight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t="14.5" hidden="1" customHeight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t="14.5" hidden="1" customHeight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t="14.5" hidden="1" customHeight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t="14.5" hidden="1" customHeight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t="14.5" hidden="1" customHeight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t="14.5" hidden="1" customHeight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t="14.5" hidden="1" customHeight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t="14.5" hidden="1" customHeight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t="14.5" hidden="1" customHeight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t="14.5" hidden="1" customHeight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t="14.5" hidden="1" customHeight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t="14.5" hidden="1" customHeight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t="14.5" hidden="1" customHeight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t="14.5" hidden="1" customHeight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t="14.5" hidden="1" customHeight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t="14.5" hidden="1" customHeight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t="14.5" hidden="1" customHeight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t="14.5" hidden="1" customHeight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t="14.5" hidden="1" customHeight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t="14.5" hidden="1" customHeight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t="14.5" hidden="1" customHeight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t="14.5" hidden="1" customHeight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t="14.5" hidden="1" customHeight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t="14.5" hidden="1" customHeight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t="14.5" hidden="1" customHeight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t="14.5" hidden="1" customHeight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t="14.5" hidden="1" customHeight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t="14.5" hidden="1" customHeight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t="14.5" hidden="1" customHeight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t="14.5" hidden="1" customHeight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t="14.5" hidden="1" customHeight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t="14.5" hidden="1" customHeight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t="14.5" hidden="1" customHeight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t="14.5" hidden="1" customHeight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t="14.5" hidden="1" customHeight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t="14.5" hidden="1" customHeight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t="14.5" hidden="1" customHeight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t="14.5" hidden="1" customHeight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t="14.5" hidden="1" customHeight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t="14.5" hidden="1" customHeight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t="14.5" hidden="1" customHeight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t="14.5" hidden="1" customHeight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t="14.5" hidden="1" customHeight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t="14.5" hidden="1" customHeight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t="14.5" hidden="1" customHeight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t="14.5" hidden="1" customHeight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t="14.5" hidden="1" customHeight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t="14.5" hidden="1" customHeight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t="14.5" hidden="1" customHeight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t="14.5" hidden="1" customHeight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t="14.5" hidden="1" customHeight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t="14.5" hidden="1" customHeight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t="14.5" hidden="1" customHeight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t="14.5" hidden="1" customHeight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t="14.5" hidden="1" customHeight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t="14.5" hidden="1" customHeight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t="14.5" hidden="1" customHeight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t="14.5" hidden="1" customHeight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t="14.5" hidden="1" customHeight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t="14.5" hidden="1" customHeight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t="14.5" hidden="1" customHeight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t="14.5" hidden="1" customHeight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t="14.5" hidden="1" customHeight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t="14.5" hidden="1" customHeight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t="14.5" hidden="1" customHeight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t="14.5" hidden="1" customHeight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t="14.5" hidden="1" customHeight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t="14.5" hidden="1" customHeight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t="14.5" hidden="1" customHeight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t="14.5" hidden="1" customHeight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t="14.5" hidden="1" customHeight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t="14.5" hidden="1" customHeight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t="14.5" hidden="1" customHeight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t="14.5" hidden="1" customHeight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t="14.5" hidden="1" customHeight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t="14.5" hidden="1" customHeight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t="14.5" hidden="1" customHeight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t="14.5" hidden="1" customHeight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t="14.5" hidden="1" customHeight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t="14.5" hidden="1" customHeight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t="14.5" hidden="1" customHeight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t="14.5" hidden="1" customHeight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t="14.5" hidden="1" customHeight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t="14.5" hidden="1" customHeight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t="14.5" hidden="1" customHeight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t="14.5" hidden="1" customHeight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t="14.5" hidden="1" customHeight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t="14.5" hidden="1" customHeight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t="14.5" hidden="1" customHeight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t="14.5" hidden="1" customHeight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t="14.5" hidden="1" customHeight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t="14.5" hidden="1" customHeight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t="14.5" hidden="1" customHeight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t="14.5" hidden="1" customHeight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t="14.5" hidden="1" customHeight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t="14.5" hidden="1" customHeight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t="14.5" hidden="1" customHeight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t="14.5" hidden="1" customHeight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t="14.5" hidden="1" customHeight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t="14.5" hidden="1" customHeight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t="14.5" hidden="1" customHeight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t="14.5" hidden="1" customHeight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t="14.5" hidden="1" customHeight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t="14.5" hidden="1" customHeight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t="14.5" hidden="1" customHeight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t="14.5" hidden="1" customHeight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t="14.5" hidden="1" customHeight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t="14.5" hidden="1" customHeight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t="14.5" hidden="1" customHeight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t="14.5" hidden="1" customHeight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t="14.5" hidden="1" customHeight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t="14.5" hidden="1" customHeight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t="14.5" hidden="1" customHeight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t="14.5" hidden="1" customHeight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t="14.5" hidden="1" customHeight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t="14.5" hidden="1" customHeight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t="14.5" hidden="1" customHeight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t="14.5" hidden="1" customHeight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t="14.5" hidden="1" customHeight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t="14.5" hidden="1" customHeight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t="14.5" hidden="1" customHeight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t="14.5" hidden="1" customHeight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t="14.5" hidden="1" customHeight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t="14.5" hidden="1" customHeight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t="14.5" hidden="1" customHeight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t="14.5" hidden="1" customHeight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t="14.5" hidden="1" customHeight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t="14.5" hidden="1" customHeight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t="14.5" hidden="1" customHeight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t="14.5" hidden="1" customHeight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t="14.5" hidden="1" customHeight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t="14.5" hidden="1" customHeight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t="14.5" hidden="1" customHeight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t="14.5" hidden="1" customHeight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t="14.5" hidden="1" customHeight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t="14.5" hidden="1" customHeight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t="14.5" hidden="1" customHeight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t="14.5" hidden="1" customHeight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t="14.5" hidden="1" customHeight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t="14.5" hidden="1" customHeight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t="14.5" hidden="1" customHeight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t="14.5" hidden="1" customHeight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t="14.5" hidden="1" customHeight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t="14.5" hidden="1" customHeight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t="14.5" hidden="1" customHeight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t="14.5" hidden="1" customHeight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t="14.5" hidden="1" customHeight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t="14.5" hidden="1" customHeight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t="14.5" hidden="1" customHeight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t="14.5" hidden="1" customHeight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t="14.5" hidden="1" customHeight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t="14.5" hidden="1" customHeight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t="14.5" hidden="1" customHeight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t="14.5" hidden="1" customHeight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t="14.5" hidden="1" customHeight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t="14.5" hidden="1" customHeight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t="14.5" hidden="1" customHeight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t="14.5" hidden="1" customHeight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t="14.5" hidden="1" customHeight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t="14.5" hidden="1" customHeight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t="14.5" hidden="1" customHeight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t="14.5" hidden="1" customHeight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t="14.5" hidden="1" customHeight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t="14.5" hidden="1" customHeight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t="14.5" hidden="1" customHeight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t="14.5" hidden="1" customHeight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t="14.5" hidden="1" customHeight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t="14.5" hidden="1" customHeight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t="14.5" hidden="1" customHeight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t="14.5" hidden="1" customHeight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t="14.5" hidden="1" customHeight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t="14.5" hidden="1" customHeight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t="14.5" hidden="1" customHeight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t="14.5" hidden="1" customHeight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t="14.5" hidden="1" customHeight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t="14.5" hidden="1" customHeight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t="14.5" hidden="1" customHeight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t="14.5" hidden="1" customHeight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t="14.5" hidden="1" customHeight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t="14.5" hidden="1" customHeight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t="14.5" hidden="1" customHeight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t="14.5" hidden="1" customHeight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t="14.5" hidden="1" customHeight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t="14.5" hidden="1" customHeight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t="14.5" hidden="1" customHeight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t="14.5" hidden="1" customHeight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t="14.5" hidden="1" customHeight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t="14.5" hidden="1" customHeight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t="14.5" hidden="1" customHeight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t="14.5" hidden="1" customHeight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t="14.5" hidden="1" customHeight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t="14.5" hidden="1" customHeight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t="14.5" hidden="1" customHeight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t="14.5" hidden="1" customHeight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t="14.5" hidden="1" customHeight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t="14.5" hidden="1" customHeight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t="14.5" hidden="1" customHeight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t="14.5" hidden="1" customHeight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t="14.5" hidden="1" customHeight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t="14.5" hidden="1" customHeight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t="14.5" hidden="1" customHeight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t="14.5" hidden="1" customHeight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t="14.5" hidden="1" customHeight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t="14.5" hidden="1" customHeight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t="14.5" hidden="1" customHeight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t="14.5" hidden="1" customHeight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t="14.5" hidden="1" customHeight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t="14.5" hidden="1" customHeight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t="14.5" hidden="1" customHeight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t="14.5" hidden="1" customHeight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t="14.5" hidden="1" customHeight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t="14.5" hidden="1" customHeight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t="14.5" hidden="1" customHeight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t="14.5" hidden="1" customHeight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t="14.5" hidden="1" customHeight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t="14.5" hidden="1" customHeight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t="14.5" hidden="1" customHeight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t="14.5" hidden="1" customHeight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t="14.5" hidden="1" customHeight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t="14.5" hidden="1" customHeight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t="14.5" hidden="1" customHeight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t="14.5" hidden="1" customHeight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t="14.5" hidden="1" customHeight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t="14.5" hidden="1" customHeight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t="14.5" hidden="1" customHeight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t="14.5" hidden="1" customHeight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t="14.5" hidden="1" customHeight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t="14.5" hidden="1" customHeight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t="14.5" hidden="1" customHeight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t="14.5" hidden="1" customHeight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t="14.5" hidden="1" customHeight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t="14.5" hidden="1" customHeight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t="14.5" hidden="1" customHeight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t="14.5" hidden="1" customHeight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t="14.5" hidden="1" customHeight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t="14.5" hidden="1" customHeight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t="14.5" hidden="1" customHeight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t="14.5" hidden="1" customHeight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t="14.5" hidden="1" customHeight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t="14.5" hidden="1" customHeight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t="14.5" hidden="1" customHeight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t="14.5" hidden="1" customHeight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t="14.5" hidden="1" customHeight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t="14.5" hidden="1" customHeight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t="14.5" hidden="1" customHeight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t="14.5" hidden="1" customHeight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t="14.5" hidden="1" customHeight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t="14.5" hidden="1" customHeight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t="14.5" hidden="1" customHeight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t="14.5" hidden="1" customHeight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t="14.5" hidden="1" customHeight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t="14.5" hidden="1" customHeight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t="14.5" hidden="1" customHeight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t="14.5" hidden="1" customHeight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t="14.5" hidden="1" customHeight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t="14.5" hidden="1" customHeight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t="14.5" hidden="1" customHeight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t="14.5" hidden="1" customHeight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t="14.5" hidden="1" customHeight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t="14.5" hidden="1" customHeight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t="14.5" hidden="1" customHeight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t="14.5" hidden="1" customHeight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t="14.5" hidden="1" customHeight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t="14.5" hidden="1" customHeight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t="14.5" hidden="1" customHeight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t="14.5" hidden="1" customHeight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t="14.5" hidden="1" customHeight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t="14.5" hidden="1" customHeight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t="14.5" hidden="1" customHeight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t="14.5" hidden="1" customHeight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t="14.5" hidden="1" customHeight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t="14.5" hidden="1" customHeight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t="14.5" hidden="1" customHeight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t="14.5" hidden="1" customHeight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t="14.5" hidden="1" customHeight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t="14.5" hidden="1" customHeight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t="14.5" hidden="1" customHeight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t="14.5" hidden="1" customHeight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t="14.5" hidden="1" customHeight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t="14.5" hidden="1" customHeight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t="14.5" hidden="1" customHeight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t="14.5" hidden="1" customHeight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t="14.5" hidden="1" customHeight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t="14.5" hidden="1" customHeight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t="14.5" hidden="1" customHeight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t="14.5" hidden="1" customHeight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t="14.5" hidden="1" customHeight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t="14.5" hidden="1" customHeight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t="14.5" hidden="1" customHeight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t="14.5" hidden="1" customHeight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t="14.5" hidden="1" customHeight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t="14.5" hidden="1" customHeight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t="14.5" hidden="1" customHeight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t="14.5" hidden="1" customHeight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t="14.5" hidden="1" customHeight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t="14.5" hidden="1" customHeight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t="14.5" hidden="1" customHeight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t="14.5" hidden="1" customHeight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t="14.5" hidden="1" customHeight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t="14.5" hidden="1" customHeight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t="14.5" hidden="1" customHeight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t="14.5" hidden="1" customHeight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t="14.5" hidden="1" customHeight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t="14.5" hidden="1" customHeight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t="14.5" hidden="1" customHeight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t="14.5" hidden="1" customHeight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t="14.5" hidden="1" customHeight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t="14.5" hidden="1" customHeight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t="14.5" hidden="1" customHeight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t="14.5" hidden="1" customHeight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t="14.5" hidden="1" customHeight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t="14.5" hidden="1" customHeight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t="14.5" hidden="1" customHeight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t="14.5" hidden="1" customHeight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t="14.5" hidden="1" customHeight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t="14.5" hidden="1" customHeight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t="14.5" hidden="1" customHeight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t="14.5" hidden="1" customHeight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t="14.5" hidden="1" customHeight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t="14.5" hidden="1" customHeight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t="14.5" hidden="1" customHeight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t="14.5" hidden="1" customHeight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t="14.5" hidden="1" customHeight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t="14.5" hidden="1" customHeight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t="14.5" hidden="1" customHeight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t="14.5" hidden="1" customHeight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t="14.5" hidden="1" customHeight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t="14.5" hidden="1" customHeight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t="14.5" hidden="1" customHeight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t="14.5" hidden="1" customHeight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t="14.5" hidden="1" customHeight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t="14.5" hidden="1" customHeight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t="14.5" hidden="1" customHeight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t="14.5" hidden="1" customHeight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t="14.5" hidden="1" customHeight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t="14.5" hidden="1" customHeight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t="14.5" hidden="1" customHeight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t="14.5" hidden="1" customHeight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t="14.5" hidden="1" customHeight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t="14.5" hidden="1" customHeight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t="14.5" hidden="1" customHeight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t="14.5" hidden="1" customHeight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t="14.5" hidden="1" customHeight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t="14.5" hidden="1" customHeight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t="14.5" hidden="1" customHeight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t="14.5" hidden="1" customHeight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t="14.5" hidden="1" customHeight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t="14.5" hidden="1" customHeight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t="14.5" hidden="1" customHeight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t="14.5" hidden="1" customHeight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t="14.5" hidden="1" customHeight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t="14.5" hidden="1" customHeight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t="14.5" hidden="1" customHeight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t="14.5" hidden="1" customHeight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t="14.5" hidden="1" customHeight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t="14.5" hidden="1" customHeight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t="14.5" hidden="1" customHeight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t="14.5" hidden="1" customHeight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t="14.5" hidden="1" customHeight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t="14.5" hidden="1" customHeight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t="14.5" hidden="1" customHeight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t="14.5" hidden="1" customHeight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t="14.5" hidden="1" customHeight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t="14.5" hidden="1" customHeight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t="14.5" hidden="1" customHeight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t="14.5" hidden="1" customHeight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t="14.5" hidden="1" customHeight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t="14.5" hidden="1" customHeight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t="14.5" hidden="1" customHeight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t="14.5" hidden="1" customHeight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t="14.5" hidden="1" customHeight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t="14.5" hidden="1" customHeight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t="14.5" hidden="1" customHeight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t="14.5" hidden="1" customHeight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t="14.5" hidden="1" customHeight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t="14.5" hidden="1" customHeight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t="14.5" hidden="1" customHeight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t="14.5" hidden="1" customHeight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t="14.5" hidden="1" customHeight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t="14.5" hidden="1" customHeight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t="14.5" hidden="1" customHeight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t="14.5" hidden="1" customHeight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t="14.5" hidden="1" customHeight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t="14.5" hidden="1" customHeight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t="14.5" hidden="1" customHeight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t="14.5" hidden="1" customHeight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t="14.5" hidden="1" customHeight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t="14.5" hidden="1" customHeight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t="14.5" hidden="1" customHeight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t="14.5" hidden="1" customHeight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t="14.5" hidden="1" customHeight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t="14.5" hidden="1" customHeight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t="14.5" hidden="1" customHeight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t="14.5" hidden="1" customHeight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t="14.5" hidden="1" customHeight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t="14.5" hidden="1" customHeight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t="14.5" hidden="1" customHeight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t="14.5" hidden="1" customHeight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t="14.5" hidden="1" customHeight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t="14.5" hidden="1" customHeight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t="14.5" hidden="1" customHeight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t="14.5" hidden="1" customHeight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t="14.5" hidden="1" customHeight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t="14.5" hidden="1" customHeight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t="14.5" hidden="1" customHeight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t="14.5" hidden="1" customHeight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t="14.5" hidden="1" customHeight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t="14.5" hidden="1" customHeight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t="14.5" hidden="1" customHeight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t="14.5" hidden="1" customHeight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t="14.5" hidden="1" customHeight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t="14.5" hidden="1" customHeight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t="14.5" hidden="1" customHeight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t="14.5" hidden="1" customHeight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t="14.5" hidden="1" customHeight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t="14.5" hidden="1" customHeight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t="14.5" hidden="1" customHeight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t="14.5" hidden="1" customHeight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t="14.5" hidden="1" customHeight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t="14.5" hidden="1" customHeight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t="14.5" hidden="1" customHeight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t="14.5" hidden="1" customHeight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t="14.5" hidden="1" customHeight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t="14.5" hidden="1" customHeight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t="14.5" hidden="1" customHeight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t="14.5" hidden="1" customHeight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t="14.5" hidden="1" customHeight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t="14.5" hidden="1" customHeight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t="14.5" hidden="1" customHeight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t="14.5" hidden="1" customHeight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t="14.5" hidden="1" customHeight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t="14.5" hidden="1" customHeight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t="14.5" hidden="1" customHeight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t="14.5" hidden="1" customHeight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t="14.5" hidden="1" customHeight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t="14.5" hidden="1" customHeight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t="14.5" hidden="1" customHeight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t="14.5" hidden="1" customHeight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t="14.5" hidden="1" customHeight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t="14.5" hidden="1" customHeight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t="14.5" hidden="1" customHeight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t="14.5" hidden="1" customHeight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t="14.5" hidden="1" customHeight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t="14.5" hidden="1" customHeight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t="14.5" hidden="1" customHeight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t="14.5" hidden="1" customHeight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t="14.5" hidden="1" customHeight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t="14.5" hidden="1" customHeight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t="14.5" hidden="1" customHeight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t="14.5" hidden="1" customHeight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t="14.5" hidden="1" customHeight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t="14.5" hidden="1" customHeight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t="14.5" hidden="1" customHeight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t="14.5" hidden="1" customHeight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t="14.5" hidden="1" customHeight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t="14.5" hidden="1" customHeight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t="14.5" hidden="1" customHeight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t="14.5" hidden="1" customHeight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t="14.5" hidden="1" customHeight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t="14.5" hidden="1" customHeight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t="14.5" hidden="1" customHeight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t="14.5" hidden="1" customHeight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t="14.5" hidden="1" customHeight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t="14.5" hidden="1" customHeight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t="14.5" hidden="1" customHeight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t="14.5" hidden="1" customHeight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t="14.5" hidden="1" customHeight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t="14.5" hidden="1" customHeight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t="14.5" hidden="1" customHeight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t="14.5" hidden="1" customHeight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t="14.5" hidden="1" customHeight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t="14.5" hidden="1" customHeight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t="14.5" hidden="1" customHeight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t="14.5" hidden="1" customHeight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t="14.5" hidden="1" customHeight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t="14.5" hidden="1" customHeight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t="14.5" hidden="1" customHeight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t="14.5" hidden="1" customHeight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t="14.5" hidden="1" customHeight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t="14.5" hidden="1" customHeight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t="14.5" hidden="1" customHeight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t="14.5" hidden="1" customHeight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t="14.5" hidden="1" customHeight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t="14.5" hidden="1" customHeight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t="14.5" hidden="1" customHeight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t="14.5" hidden="1" customHeight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t="14.5" hidden="1" customHeight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t="14.5" hidden="1" customHeight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t="14.5" hidden="1" customHeight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t="14.5" hidden="1" customHeight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t="14.5" hidden="1" customHeight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t="14.5" hidden="1" customHeight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t="14.5" hidden="1" customHeight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t="14.5" hidden="1" customHeight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t="14.5" hidden="1" customHeight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t="14.5" hidden="1" customHeight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t="14.5" hidden="1" customHeight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t="14.5" hidden="1" customHeight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t="14.5" hidden="1" customHeight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t="14.5" hidden="1" customHeight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t="14.5" hidden="1" customHeight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t="14.5" hidden="1" customHeight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t="14.5" hidden="1" customHeight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t="14.5" hidden="1" customHeight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t="14.5" hidden="1" customHeight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t="14.5" hidden="1" customHeight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t="14.5" hidden="1" customHeight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t="14.5" hidden="1" customHeight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t="14.5" hidden="1" customHeight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t="14.5" hidden="1" customHeight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t="14.5" hidden="1" customHeight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t="14.5" hidden="1" customHeight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t="14.5" hidden="1" customHeight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t="14.5" hidden="1" customHeight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t="14.5" hidden="1" customHeight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t="14.5" hidden="1" customHeight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t="14.5" hidden="1" customHeight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t="14.5" hidden="1" customHeight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t="14.5" hidden="1" customHeight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t="14.5" hidden="1" customHeight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t="14.5" hidden="1" customHeight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t="14.5" hidden="1" customHeight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t="14.5" hidden="1" customHeight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t="14.5" hidden="1" customHeight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t="14.5" hidden="1" customHeight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t="14.5" hidden="1" customHeight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t="14.5" hidden="1" customHeight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t="14.5" hidden="1" customHeight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t="14.5" hidden="1" customHeight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t="14.5" hidden="1" customHeight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t="14.5" hidden="1" customHeight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t="14.5" hidden="1" customHeight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t="14.5" hidden="1" customHeight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t="14.5" hidden="1" customHeight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t="14.5" hidden="1" customHeight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t="14.5" hidden="1" customHeight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t="14.5" hidden="1" customHeight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t="14.5" hidden="1" customHeight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t="14.5" hidden="1" customHeight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t="14.5" hidden="1" customHeight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t="14.5" hidden="1" customHeight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t="14.5" hidden="1" customHeight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t="14.5" hidden="1" customHeight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t="14.5" hidden="1" customHeight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t="14.5" hidden="1" customHeight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t="14.5" hidden="1" customHeight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t="14.5" hidden="1" customHeight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t="14.5" hidden="1" customHeight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t="14.5" hidden="1" customHeight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t="14.5" hidden="1" customHeight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t="14.5" hidden="1" customHeight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t="14.5" hidden="1" customHeight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t="14.5" hidden="1" customHeight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t="14.5" hidden="1" customHeight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t="14.5" hidden="1" customHeight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t="14.5" hidden="1" customHeight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t="14.5" hidden="1" customHeight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t="14.5" hidden="1" customHeight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t="14.5" hidden="1" customHeight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t="14.5" hidden="1" customHeight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t="14.5" hidden="1" customHeight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t="14.5" hidden="1" customHeight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t="14.5" hidden="1" customHeight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t="14.5" hidden="1" customHeight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t="14.5" hidden="1" customHeight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t="14.5" hidden="1" customHeight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t="14.5" hidden="1" customHeight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t="14.5" hidden="1" customHeight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t="14.5" hidden="1" customHeight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t="14.5" hidden="1" customHeight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t="14.5" hidden="1" customHeight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t="14.5" hidden="1" customHeight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t="14.5" hidden="1" customHeight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t="14.5" hidden="1" customHeight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t="14.5" hidden="1" customHeight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t="14.5" hidden="1" customHeight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t="14.5" hidden="1" customHeight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t="14.5" hidden="1" customHeight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t="14.5" hidden="1" customHeight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t="14.5" hidden="1" customHeight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t="14.5" hidden="1" customHeight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t="14.5" hidden="1" customHeight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t="14.5" hidden="1" customHeight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t="14.5" hidden="1" customHeight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t="14.5" hidden="1" customHeight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t="14.5" hidden="1" customHeight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t="14.5" hidden="1" customHeight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t="14.5" hidden="1" customHeight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t="14.5" hidden="1" customHeight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t="14.5" hidden="1" customHeight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t="14.5" hidden="1" customHeight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t="14.5" hidden="1" customHeight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t="14.5" hidden="1" customHeight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t="14.5" hidden="1" customHeight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t="14.5" hidden="1" customHeight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t="14.5" hidden="1" customHeight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t="14.5" hidden="1" customHeight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t="14.5" hidden="1" customHeight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t="14.5" hidden="1" customHeight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t="14.5" hidden="1" customHeight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t="14.5" hidden="1" customHeight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t="14.5" hidden="1" customHeight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t="14.5" hidden="1" customHeight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t="14.5" hidden="1" customHeight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t="14.5" hidden="1" customHeight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t="14.5" hidden="1" customHeight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t="14.5" hidden="1" customHeight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t="14.5" hidden="1" customHeight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t="14.5" hidden="1" customHeight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t="14.5" hidden="1" customHeight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t="14.5" hidden="1" customHeight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t="14.5" hidden="1" customHeight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t="14.5" hidden="1" customHeight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t="14.5" hidden="1" customHeight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t="14.5" hidden="1" customHeight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t="14.5" hidden="1" customHeight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t="14.5" hidden="1" customHeight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t="14.5" hidden="1" customHeight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t="14.5" hidden="1" customHeight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t="14.5" hidden="1" customHeight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t="14.5" hidden="1" customHeight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t="14.5" hidden="1" customHeight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t="14.5" hidden="1" customHeight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t="14.5" hidden="1" customHeight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t="14.5" hidden="1" customHeight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t="14.5" hidden="1" customHeight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t="14.5" hidden="1" customHeight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t="14.5" hidden="1" customHeight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t="14.5" hidden="1" customHeight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t="14.5" hidden="1" customHeight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t="14.5" hidden="1" customHeight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t="14.5" hidden="1" customHeight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t="14.5" hidden="1" customHeight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t="14.5" hidden="1" customHeight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t="14.5" hidden="1" customHeight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t="14.5" hidden="1" customHeight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t="14.5" hidden="1" customHeight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t="14.5" hidden="1" customHeight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t="14.5" hidden="1" customHeight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t="14.5" hidden="1" customHeight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t="14.5" hidden="1" customHeight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t="14.5" hidden="1" customHeight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t="14.5" hidden="1" customHeight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t="14.5" hidden="1" customHeight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t="14.5" hidden="1" customHeight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t="14.5" hidden="1" customHeight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t="14.5" hidden="1" customHeight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t="14.5" hidden="1" customHeight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t="14.5" hidden="1" customHeight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t="14.5" hidden="1" customHeight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t="14.5" hidden="1" customHeight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t="14.5" hidden="1" customHeight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t="14.5" hidden="1" customHeight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t="14.5" hidden="1" customHeight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t="14.5" hidden="1" customHeight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t="14.5" hidden="1" customHeight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t="14.5" hidden="1" customHeight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t="14.5" hidden="1" customHeight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t="14.5" hidden="1" customHeight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t="14.5" hidden="1" customHeight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t="14.5" hidden="1" customHeight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t="14.5" hidden="1" customHeight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t="14.5" hidden="1" customHeight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t="14.5" hidden="1" customHeight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t="14.5" hidden="1" customHeight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t="14.5" hidden="1" customHeight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t="14.5" hidden="1" customHeight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t="14.5" hidden="1" customHeight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t="14.5" hidden="1" customHeight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t="14.5" hidden="1" customHeight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t="14.5" hidden="1" customHeight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t="14.5" hidden="1" customHeight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t="14.5" hidden="1" customHeight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t="14.5" hidden="1" customHeight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t="14.5" hidden="1" customHeight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t="14.5" hidden="1" customHeight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t="14.5" hidden="1" customHeight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t="14.5" hidden="1" customHeight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t="14.5" hidden="1" customHeight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t="14.5" hidden="1" customHeight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t="14.5" hidden="1" customHeight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t="14.5" hidden="1" customHeight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t="14.5" hidden="1" customHeight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t="14.5" hidden="1" customHeight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t="14.5" hidden="1" customHeight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t="14.5" hidden="1" customHeight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t="14.5" hidden="1" customHeight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t="14.5" hidden="1" customHeight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t="14.5" hidden="1" customHeight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t="14.5" hidden="1" customHeight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t="14.5" hidden="1" customHeight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t="14.5" hidden="1" customHeight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t="14.5" hidden="1" customHeight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t="14.5" hidden="1" customHeight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t="14.5" hidden="1" customHeight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t="14.5" hidden="1" customHeight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t="14.5" hidden="1" customHeight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t="14.5" hidden="1" customHeight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t="14.5" hidden="1" customHeight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t="14.5" hidden="1" customHeight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t="14.5" hidden="1" customHeight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t="14.5" hidden="1" customHeight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t="14.5" hidden="1" customHeight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t="14.5" hidden="1" customHeight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t="14.5" hidden="1" customHeight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t="14.5" hidden="1" customHeight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t="14.5" hidden="1" customHeight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t="14.5" hidden="1" customHeight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t="14.5" hidden="1" customHeight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t="14.5" hidden="1" customHeight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t="14.5" hidden="1" customHeight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t="14.5" hidden="1" customHeight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t="14.5" hidden="1" customHeight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t="14.5" hidden="1" customHeight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t="14.5" hidden="1" customHeight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t="14.5" hidden="1" customHeight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t="14.5" hidden="1" customHeight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t="14.5" hidden="1" customHeight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t="14.5" hidden="1" customHeight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t="14.5" hidden="1" customHeight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t="14.5" hidden="1" customHeight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t="14.5" hidden="1" customHeight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t="14.5" hidden="1" customHeight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t="14.5" hidden="1" customHeight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t="14.5" hidden="1" customHeight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t="14.5" hidden="1" customHeight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t="14.5" hidden="1" customHeight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t="14.5" hidden="1" customHeight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t="14.5" hidden="1" customHeight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t="14.5" hidden="1" customHeight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t="14.5" hidden="1" customHeight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t="14.5" hidden="1" customHeight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t="14.5" hidden="1" customHeight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t="14.5" hidden="1" customHeight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t="14.5" hidden="1" customHeight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t="14.5" hidden="1" customHeight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t="14.5" hidden="1" customHeight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t="14.5" hidden="1" customHeight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t="14.5" hidden="1" customHeight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t="14.5" hidden="1" customHeight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t="14.5" hidden="1" customHeight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t="14.5" hidden="1" customHeight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t="14.5" hidden="1" customHeight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t="14.5" hidden="1" customHeight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t="14.5" hidden="1" customHeight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t="14.5" hidden="1" customHeight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t="14.5" hidden="1" customHeight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t="14.5" hidden="1" customHeight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t="14.5" hidden="1" customHeight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t="14.5" hidden="1" customHeight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t="14.5" hidden="1" customHeight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t="14.5" hidden="1" customHeight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t="14.5" hidden="1" customHeight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t="14.5" hidden="1" customHeight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t="14.5" hidden="1" customHeight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t="14.5" hidden="1" customHeight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t="14.5" hidden="1" customHeight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t="14.5" hidden="1" customHeight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t="14.5" hidden="1" customHeight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t="14.5" hidden="1" customHeight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t="14.5" hidden="1" customHeight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t="14.5" hidden="1" customHeight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t="14.5" hidden="1" customHeight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t="14.5" hidden="1" customHeight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t="14.5" hidden="1" customHeight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t="14.5" hidden="1" customHeight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t="14.5" hidden="1" customHeight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t="14.5" hidden="1" customHeight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t="14.5" hidden="1" customHeight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t="14.5" hidden="1" customHeight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t="14.5" hidden="1" customHeight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t="14.5" hidden="1" customHeight="1" x14ac:dyDescent="0.35">
      <c r="A5515" s="9" t="s">
        <v>85</v>
      </c>
      <c r="B5515" s="151" t="s">
        <v>2722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t="14.5" hidden="1" customHeight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t="14.5" hidden="1" customHeight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t="14.5" hidden="1" customHeight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t="14.5" hidden="1" customHeight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t="14.5" hidden="1" customHeight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t="14.5" hidden="1" customHeight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t="14.5" hidden="1" customHeight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t="14.5" hidden="1" customHeight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t="14.5" hidden="1" customHeight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t="14.5" hidden="1" customHeight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t="14.5" hidden="1" customHeight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t="14.5" hidden="1" customHeight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t="14.5" hidden="1" customHeight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t="14.5" hidden="1" customHeight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t="14.5" hidden="1" customHeight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t="14.5" hidden="1" customHeight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t="14.5" hidden="1" customHeight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t="14.5" hidden="1" customHeight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t="14.5" hidden="1" customHeight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t="14.5" hidden="1" customHeight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t="14.5" hidden="1" customHeight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t="14.5" hidden="1" customHeight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t="14.5" hidden="1" customHeight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t="14.5" hidden="1" customHeight="1" x14ac:dyDescent="0.35">
      <c r="A5539" s="9" t="s">
        <v>85</v>
      </c>
      <c r="B5539" s="151" t="s">
        <v>2722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t="14.5" hidden="1" customHeight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t="14.5" hidden="1" customHeight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t="14.5" hidden="1" customHeight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t="14.5" hidden="1" customHeight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t="14.5" hidden="1" customHeight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t="14.5" hidden="1" customHeight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t="14.5" hidden="1" customHeight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t="14.5" hidden="1" customHeight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t="14.5" hidden="1" customHeight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t="14.5" hidden="1" customHeight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t="14.5" hidden="1" customHeight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t="14.5" hidden="1" customHeight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t="14.5" hidden="1" customHeight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t="14.5" hidden="1" customHeight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t="14.5" hidden="1" customHeight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t="14.5" hidden="1" customHeight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t="14.5" hidden="1" customHeight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t="14.5" hidden="1" customHeight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t="14.5" hidden="1" customHeight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t="14.5" hidden="1" customHeight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t="14.5" hidden="1" customHeight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t="14.5" hidden="1" customHeight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t="14.5" hidden="1" customHeight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t="14.5" hidden="1" customHeight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t="14.5" hidden="1" customHeight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t="14.5" hidden="1" customHeight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t="14.5" hidden="1" customHeight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t="14.5" hidden="1" customHeight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t="14.5" hidden="1" customHeight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t="14.5" hidden="1" customHeight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t="14.5" hidden="1" customHeight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t="14.5" hidden="1" customHeight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t="14.5" hidden="1" customHeight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t="14.5" hidden="1" customHeight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t="14.5" hidden="1" customHeight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t="14.5" hidden="1" customHeight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t="14.5" hidden="1" customHeight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t="14.5" hidden="1" customHeight="1" x14ac:dyDescent="0.35">
      <c r="A5577" s="9" t="s">
        <v>85</v>
      </c>
      <c r="B5577" s="9" t="s">
        <v>2736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t="14.5" hidden="1" customHeight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t="14.5" hidden="1" customHeight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t="14.5" hidden="1" customHeight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t="14.5" hidden="1" customHeight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t="14.5" hidden="1" customHeight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t="14.5" hidden="1" customHeight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t="14.5" hidden="1" customHeight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t="14.5" hidden="1" customHeight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t="14.5" hidden="1" customHeight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t="14.5" hidden="1" customHeight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t="14.5" hidden="1" customHeight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t="14.5" hidden="1" customHeight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t="14.5" hidden="1" customHeight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t="14.5" hidden="1" customHeight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t="14.5" hidden="1" customHeight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t="14.5" hidden="1" customHeight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t="14.5" hidden="1" customHeight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t="14.5" hidden="1" customHeight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t="14.5" hidden="1" customHeight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t="14.5" hidden="1" customHeight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t="14.5" hidden="1" customHeight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t="14.5" hidden="1" customHeight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t="14.5" hidden="1" customHeight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t="14.5" hidden="1" customHeight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t="14.5" hidden="1" customHeight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t="14.5" hidden="1" customHeight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t="14.5" hidden="1" customHeight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t="14.5" hidden="1" customHeight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t="14.5" hidden="1" customHeight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t="14.5" hidden="1" customHeight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t="14.5" hidden="1" customHeight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t="14.5" hidden="1" customHeight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t="14.5" hidden="1" customHeight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t="14.5" hidden="1" customHeight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t="14.5" hidden="1" customHeight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t="14.5" hidden="1" customHeight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t="14.5" hidden="1" customHeight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t="14.5" hidden="1" customHeight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t="14.5" hidden="1" customHeight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t="14.5" hidden="1" customHeight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t="14.5" hidden="1" customHeight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t="14.5" hidden="1" customHeight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t="14.5" hidden="1" customHeight="1" x14ac:dyDescent="0.35">
      <c r="A5620" s="9" t="s">
        <v>55</v>
      </c>
      <c r="B5620" s="9" t="s">
        <v>1442</v>
      </c>
      <c r="C5620" s="9" t="s">
        <v>25</v>
      </c>
      <c r="D5620" s="9"/>
      <c r="E5620" s="10">
        <v>44753</v>
      </c>
      <c r="F5620" s="100">
        <f>SUM(J5620:L5620)</f>
        <v>156</v>
      </c>
      <c r="G5620" s="100">
        <f>SUM(Table3[[#This Row],[Kim Dệt Ngày]:[Kim Khác Đêm]])</f>
        <v>0</v>
      </c>
      <c r="H5620" s="10">
        <v>44753</v>
      </c>
      <c r="I5620" s="10">
        <v>44754</v>
      </c>
      <c r="J5620" s="9">
        <f>48</f>
        <v>48</v>
      </c>
      <c r="K5620" s="9"/>
      <c r="L5620" s="9">
        <f>60+48</f>
        <v>108</v>
      </c>
      <c r="M5620" s="11"/>
      <c r="N5620" s="11"/>
      <c r="O5620" s="9"/>
      <c r="P5620" s="9"/>
      <c r="Q5620" s="9"/>
    </row>
    <row r="5621" spans="1:17" ht="14.5" hidden="1" customHeight="1" x14ac:dyDescent="0.35">
      <c r="A5621" s="9" t="s">
        <v>55</v>
      </c>
      <c r="B5621" s="9" t="s">
        <v>1442</v>
      </c>
      <c r="C5621" s="9" t="s">
        <v>25</v>
      </c>
      <c r="D5621" s="9"/>
      <c r="E5621" s="10">
        <v>44754</v>
      </c>
      <c r="F5621" s="100">
        <f>SUM(J5621:L5621)</f>
        <v>432</v>
      </c>
      <c r="G5621" s="100">
        <f>SUM(Table3[[#This Row],[Kim Dệt Ngày]:[Kim Khác Đêm]])</f>
        <v>0</v>
      </c>
      <c r="H5621" s="10">
        <v>44755</v>
      </c>
      <c r="I5621" s="10">
        <v>44761</v>
      </c>
      <c r="J5621" s="9">
        <f>36+36+36+36+48+36</f>
        <v>228</v>
      </c>
      <c r="K5621" s="9">
        <f>24</f>
        <v>24</v>
      </c>
      <c r="L5621" s="9">
        <f>48+48+48+36</f>
        <v>180</v>
      </c>
      <c r="M5621" s="11"/>
      <c r="N5621" s="11"/>
      <c r="O5621" s="9"/>
      <c r="P5621" s="9"/>
      <c r="Q5621" s="9"/>
    </row>
    <row r="5622" spans="1:17" ht="14.5" hidden="1" customHeight="1" x14ac:dyDescent="0.35">
      <c r="A5622" s="9" t="s">
        <v>53</v>
      </c>
      <c r="B5622" s="9" t="s">
        <v>1442</v>
      </c>
      <c r="C5622" s="9" t="s">
        <v>25</v>
      </c>
      <c r="D5622" s="9"/>
      <c r="E5622" s="10">
        <v>44754</v>
      </c>
      <c r="F5622" s="100">
        <f>SUM(J5622:L5622)</f>
        <v>12</v>
      </c>
      <c r="G5622" s="100">
        <f>SUM(Table3[[#This Row],[Kim Dệt Ngày]:[Kim Khác Đêm]])</f>
        <v>0</v>
      </c>
      <c r="H5622" s="10">
        <v>44755</v>
      </c>
      <c r="I5622" s="10">
        <v>44755</v>
      </c>
      <c r="J5622" s="9">
        <f>12</f>
        <v>12</v>
      </c>
      <c r="K5622" s="9"/>
      <c r="L5622" s="9"/>
      <c r="M5622" s="11"/>
      <c r="N5622" s="11"/>
      <c r="O5622" s="9"/>
      <c r="P5622" s="9"/>
      <c r="Q5622" s="9"/>
    </row>
    <row r="5623" spans="1:17" ht="14.5" hidden="1" customHeight="1" x14ac:dyDescent="0.35">
      <c r="A5623" s="9" t="s">
        <v>53</v>
      </c>
      <c r="B5623" s="9" t="s">
        <v>1442</v>
      </c>
      <c r="C5623" s="9" t="s">
        <v>18</v>
      </c>
      <c r="D5623" s="9"/>
      <c r="E5623" s="10">
        <v>44754</v>
      </c>
      <c r="F5623" s="100">
        <f>SUM(J5623:L5623)</f>
        <v>552</v>
      </c>
      <c r="G5623" s="100">
        <f>SUM(Table3[[#This Row],[Kim Dệt Ngày]:[Kim Khác Đêm]])</f>
        <v>0</v>
      </c>
      <c r="H5623" s="10">
        <v>44755</v>
      </c>
      <c r="I5623" s="10">
        <v>44760</v>
      </c>
      <c r="J5623" s="9">
        <f>48+72+60+60+12</f>
        <v>252</v>
      </c>
      <c r="K5623" s="9"/>
      <c r="L5623" s="9">
        <f>72+84+72+72</f>
        <v>300</v>
      </c>
      <c r="M5623" s="11"/>
      <c r="N5623" s="11"/>
      <c r="O5623" s="9"/>
      <c r="P5623" s="9"/>
      <c r="Q5623" s="9"/>
    </row>
    <row r="5624" spans="1:17" x14ac:dyDescent="0.35">
      <c r="A5624" s="9" t="s">
        <v>16</v>
      </c>
      <c r="B5624" s="261" t="s">
        <v>1070</v>
      </c>
      <c r="C5624" s="9" t="s">
        <v>18</v>
      </c>
      <c r="D5624" s="9"/>
      <c r="E5624" s="10">
        <v>44749</v>
      </c>
      <c r="F5624" s="100">
        <f>SUM(J5624:L5624)</f>
        <v>876</v>
      </c>
      <c r="G5624" s="100">
        <f>SUM(Table3[[#This Row],[Kim Dệt Ngày]:[Kim Khác Đêm]])</f>
        <v>0</v>
      </c>
      <c r="H5624" s="10">
        <v>44750</v>
      </c>
      <c r="I5624" s="10"/>
      <c r="J5624" s="9">
        <f>60+72+24+60+12+60+60+60+48+72+48+72</f>
        <v>648</v>
      </c>
      <c r="K5624" s="9">
        <f>36+24+12</f>
        <v>72</v>
      </c>
      <c r="L5624" s="9">
        <f>48+48+60</f>
        <v>156</v>
      </c>
      <c r="M5624" s="11"/>
      <c r="N5624" s="11"/>
      <c r="O5624" s="9"/>
      <c r="P5624" s="9"/>
      <c r="Q5624" s="9"/>
    </row>
    <row r="5625" spans="1:17" x14ac:dyDescent="0.35">
      <c r="A5625" s="9" t="s">
        <v>19</v>
      </c>
      <c r="B5625" s="9" t="s">
        <v>2156</v>
      </c>
      <c r="C5625" s="261" t="s">
        <v>2150</v>
      </c>
      <c r="D5625" s="9"/>
      <c r="E5625" s="10">
        <v>44735</v>
      </c>
      <c r="F5625" s="100">
        <f>SUM(J5625:L5625)</f>
        <v>228</v>
      </c>
      <c r="G5625" s="100">
        <f>SUM(Table3[[#This Row],[Kim Dệt Ngày]:[Kim Khác Đêm]])</f>
        <v>0</v>
      </c>
      <c r="H5625" s="10">
        <v>44761</v>
      </c>
      <c r="I5625" s="10"/>
      <c r="J5625" s="9">
        <f>48+60+48</f>
        <v>156</v>
      </c>
      <c r="K5625" s="9">
        <f>24+36+12</f>
        <v>72</v>
      </c>
      <c r="L5625" s="9"/>
      <c r="M5625" s="11"/>
      <c r="N5625" s="11"/>
      <c r="O5625" s="9"/>
      <c r="P5625" s="9"/>
      <c r="Q5625" s="9"/>
    </row>
    <row r="5626" spans="1:17" ht="14.5" hidden="1" customHeight="1" x14ac:dyDescent="0.35">
      <c r="A5626" s="9" t="s">
        <v>38</v>
      </c>
      <c r="B5626" s="9" t="s">
        <v>1596</v>
      </c>
      <c r="C5626" s="9" t="s">
        <v>28</v>
      </c>
      <c r="D5626" s="9"/>
      <c r="E5626" s="10">
        <v>44742</v>
      </c>
      <c r="F5626" s="100">
        <f>SUM(J5626:L5626)</f>
        <v>552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60+60+60+72+72+48</f>
        <v>372</v>
      </c>
      <c r="K5626" s="9"/>
      <c r="L5626" s="9">
        <f>96+84</f>
        <v>180</v>
      </c>
      <c r="M5626" s="11"/>
      <c r="N5626" s="11"/>
      <c r="O5626" s="9"/>
      <c r="P5626" s="9"/>
      <c r="Q5626" s="9"/>
    </row>
    <row r="5627" spans="1:17" ht="14.5" hidden="1" customHeight="1" x14ac:dyDescent="0.35">
      <c r="A5627" s="9" t="s">
        <v>38</v>
      </c>
      <c r="B5627" s="9" t="s">
        <v>1596</v>
      </c>
      <c r="C5627" s="9" t="s">
        <v>39</v>
      </c>
      <c r="D5627" s="9"/>
      <c r="E5627" s="10">
        <v>44742</v>
      </c>
      <c r="F5627" s="100">
        <f>SUM(J5627:L5627)</f>
        <v>312</v>
      </c>
      <c r="G5627" s="100">
        <f>SUM(Table3[[#This Row],[Kim Dệt Ngày]:[Kim Khác Đêm]])</f>
        <v>0</v>
      </c>
      <c r="H5627" s="10">
        <v>44749</v>
      </c>
      <c r="I5627" s="10">
        <v>44753</v>
      </c>
      <c r="J5627" s="9">
        <f>24+72+60+72</f>
        <v>228</v>
      </c>
      <c r="K5627" s="9"/>
      <c r="L5627" s="9">
        <f>72+12</f>
        <v>84</v>
      </c>
      <c r="M5627" s="11"/>
      <c r="N5627" s="11"/>
      <c r="O5627" s="9"/>
      <c r="P5627" s="9"/>
      <c r="Q5627" s="9"/>
    </row>
    <row r="5628" spans="1:17" ht="14.5" hidden="1" customHeight="1" x14ac:dyDescent="0.35">
      <c r="A5628" s="9" t="s">
        <v>38</v>
      </c>
      <c r="B5628" s="9" t="s">
        <v>1596</v>
      </c>
      <c r="C5628" s="9" t="s">
        <v>18</v>
      </c>
      <c r="D5628" s="9"/>
      <c r="E5628" s="10">
        <v>44742</v>
      </c>
      <c r="F5628" s="100">
        <f>SUM(J5628:L5628)</f>
        <v>360</v>
      </c>
      <c r="G5628" s="100">
        <f>SUM(Table3[[#This Row],[Kim Dệt Ngày]:[Kim Khác Đêm]])</f>
        <v>0</v>
      </c>
      <c r="H5628" s="10">
        <v>44753</v>
      </c>
      <c r="I5628" s="10">
        <v>44755</v>
      </c>
      <c r="J5628" s="9">
        <f>72+60</f>
        <v>132</v>
      </c>
      <c r="K5628" s="9"/>
      <c r="L5628" s="9">
        <f>60+84+84</f>
        <v>228</v>
      </c>
      <c r="M5628" s="11"/>
      <c r="N5628" s="11"/>
      <c r="O5628" s="9"/>
      <c r="P5628" s="9"/>
      <c r="Q5628" s="9"/>
    </row>
    <row r="5629" spans="1:17" ht="14.5" hidden="1" customHeight="1" x14ac:dyDescent="0.35">
      <c r="A5629" s="9" t="s">
        <v>38</v>
      </c>
      <c r="B5629" s="9" t="s">
        <v>1596</v>
      </c>
      <c r="C5629" s="9" t="s">
        <v>18</v>
      </c>
      <c r="D5629" s="9"/>
      <c r="E5629" s="10">
        <v>44755</v>
      </c>
      <c r="F5629" s="100">
        <f>SUM(J5629:L5629)</f>
        <v>300</v>
      </c>
      <c r="G5629" s="100">
        <f>SUM(Table3[[#This Row],[Kim Dệt Ngày]:[Kim Khác Đêm]])</f>
        <v>0</v>
      </c>
      <c r="H5629" s="10">
        <v>44756</v>
      </c>
      <c r="I5629" s="10">
        <v>44757</v>
      </c>
      <c r="J5629" s="9">
        <f>72+60</f>
        <v>132</v>
      </c>
      <c r="K5629" s="9"/>
      <c r="L5629" s="9">
        <f>84+84</f>
        <v>168</v>
      </c>
      <c r="M5629" s="11"/>
      <c r="N5629" s="11"/>
      <c r="O5629" s="9"/>
      <c r="P5629" s="9"/>
      <c r="Q5629" s="9"/>
    </row>
    <row r="5630" spans="1:17" ht="14.5" hidden="1" customHeight="1" x14ac:dyDescent="0.35">
      <c r="A5630" s="9" t="s">
        <v>38</v>
      </c>
      <c r="B5630" s="9" t="s">
        <v>1596</v>
      </c>
      <c r="C5630" s="9" t="s">
        <v>25</v>
      </c>
      <c r="D5630" s="9"/>
      <c r="E5630" s="10">
        <v>44755</v>
      </c>
      <c r="F5630" s="100">
        <f>SUM(J5630:L5630)</f>
        <v>144</v>
      </c>
      <c r="G5630" s="100">
        <f>SUM(Table3[[#This Row],[Kim Dệt Ngày]:[Kim Khác Đêm]])</f>
        <v>0</v>
      </c>
      <c r="H5630" s="10">
        <v>44758</v>
      </c>
      <c r="I5630" s="10">
        <v>44760</v>
      </c>
      <c r="J5630" s="9">
        <f>60</f>
        <v>60</v>
      </c>
      <c r="K5630" s="9"/>
      <c r="L5630" s="9">
        <f>84</f>
        <v>84</v>
      </c>
      <c r="M5630" s="11"/>
      <c r="N5630" s="11"/>
      <c r="O5630" s="9"/>
      <c r="P5630" s="9"/>
      <c r="Q5630" s="9"/>
    </row>
    <row r="5631" spans="1:17" ht="14.5" hidden="1" customHeight="1" x14ac:dyDescent="0.35">
      <c r="A5631" s="9" t="s">
        <v>21</v>
      </c>
      <c r="B5631" s="9" t="s">
        <v>1687</v>
      </c>
      <c r="C5631" s="9" t="s">
        <v>18</v>
      </c>
      <c r="D5631" s="9"/>
      <c r="E5631" s="10">
        <v>44755</v>
      </c>
      <c r="F5631" s="100">
        <f>SUM(J5631:L5631)</f>
        <v>360</v>
      </c>
      <c r="G5631" s="100">
        <f>SUM(Table3[[#This Row],[Kim Dệt Ngày]:[Kim Khác Đêm]])</f>
        <v>0</v>
      </c>
      <c r="H5631" s="10">
        <v>44756</v>
      </c>
      <c r="I5631" s="10">
        <v>44761</v>
      </c>
      <c r="J5631" s="9">
        <f>24+60+48+12</f>
        <v>144</v>
      </c>
      <c r="K5631" s="9"/>
      <c r="L5631" s="9">
        <f>36+60+120</f>
        <v>216</v>
      </c>
      <c r="M5631" s="11"/>
      <c r="N5631" s="11"/>
      <c r="O5631" s="9"/>
      <c r="P5631" s="9"/>
      <c r="Q5631" s="9"/>
    </row>
    <row r="5632" spans="1:17" x14ac:dyDescent="0.35">
      <c r="A5632" s="9" t="s">
        <v>21</v>
      </c>
      <c r="B5632" s="9" t="s">
        <v>1687</v>
      </c>
      <c r="C5632" s="9" t="s">
        <v>39</v>
      </c>
      <c r="D5632" s="9"/>
      <c r="E5632" s="10">
        <v>44755</v>
      </c>
      <c r="F5632" s="100">
        <f>SUM(J5632:L5632)</f>
        <v>204</v>
      </c>
      <c r="G5632" s="100">
        <f>SUM(Table3[[#This Row],[Kim Dệt Ngày]:[Kim Khác Đêm]])</f>
        <v>0</v>
      </c>
      <c r="H5632" s="10">
        <v>44761</v>
      </c>
      <c r="I5632" s="10"/>
      <c r="J5632" s="9">
        <f>36+36+60</f>
        <v>132</v>
      </c>
      <c r="K5632" s="9">
        <f>36+24+12</f>
        <v>72</v>
      </c>
      <c r="L5632" s="9"/>
      <c r="M5632" s="11"/>
      <c r="N5632" s="11"/>
      <c r="O5632" s="9"/>
      <c r="P5632" s="9"/>
      <c r="Q5632" s="9"/>
    </row>
    <row r="5633" spans="1:17" ht="14.5" hidden="1" customHeight="1" x14ac:dyDescent="0.35">
      <c r="A5633" s="9" t="s">
        <v>93</v>
      </c>
      <c r="B5633" s="150" t="s">
        <v>1691</v>
      </c>
      <c r="C5633" s="9" t="s">
        <v>18</v>
      </c>
      <c r="D5633" s="9"/>
      <c r="E5633" s="10">
        <v>44686</v>
      </c>
      <c r="F5633" s="100">
        <f>SUM(J5633:L5633)</f>
        <v>324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48+36+48+36+12+48</f>
        <v>228</v>
      </c>
      <c r="K5633" s="9"/>
      <c r="L5633" s="9">
        <f>48+48</f>
        <v>96</v>
      </c>
      <c r="M5633" s="11"/>
      <c r="N5633" s="11"/>
      <c r="O5633" s="9"/>
      <c r="P5633" s="9"/>
      <c r="Q5633" s="9"/>
    </row>
    <row r="5634" spans="1:17" x14ac:dyDescent="0.35">
      <c r="A5634" s="9" t="s">
        <v>23</v>
      </c>
      <c r="B5634" s="9" t="s">
        <v>1421</v>
      </c>
      <c r="C5634" s="9" t="s">
        <v>28</v>
      </c>
      <c r="D5634" s="9"/>
      <c r="E5634" s="10">
        <v>44742</v>
      </c>
      <c r="F5634" s="100">
        <f>SUM(J5634:L5634)</f>
        <v>60</v>
      </c>
      <c r="G5634" s="100">
        <f>SUM(Table3[[#This Row],[Kim Dệt Ngày]:[Kim Khác Đêm]])</f>
        <v>0</v>
      </c>
      <c r="H5634" s="10">
        <v>44763</v>
      </c>
      <c r="I5634" s="10"/>
      <c r="J5634" s="9">
        <f>48</f>
        <v>48</v>
      </c>
      <c r="K5634" s="9">
        <f>12</f>
        <v>12</v>
      </c>
      <c r="L5634" s="9"/>
      <c r="M5634" s="11"/>
      <c r="N5634" s="11"/>
      <c r="O5634" s="9"/>
      <c r="P5634" s="9"/>
      <c r="Q5634" s="9"/>
    </row>
    <row r="5635" spans="1:17" ht="14.5" hidden="1" customHeight="1" x14ac:dyDescent="0.35">
      <c r="A5635" s="9" t="s">
        <v>63</v>
      </c>
      <c r="B5635" s="157" t="s">
        <v>1088</v>
      </c>
      <c r="C5635" s="9" t="s">
        <v>2624</v>
      </c>
      <c r="D5635" s="9"/>
      <c r="E5635" s="10">
        <v>44727</v>
      </c>
      <c r="F5635" s="100">
        <f>SUM(J5635:L5635)</f>
        <v>192</v>
      </c>
      <c r="G5635" s="100">
        <f>SUM(Table3[[#This Row],[Kim Dệt Ngày]:[Kim Khác Đêm]])</f>
        <v>0</v>
      </c>
      <c r="H5635" s="10">
        <v>44743</v>
      </c>
      <c r="I5635" s="10">
        <v>44748</v>
      </c>
      <c r="J5635" s="9">
        <f>24+12+48+36+24</f>
        <v>144</v>
      </c>
      <c r="K5635" s="9"/>
      <c r="L5635" s="9">
        <f>48</f>
        <v>48</v>
      </c>
      <c r="M5635" s="11"/>
      <c r="N5635" s="11"/>
      <c r="O5635" s="9"/>
      <c r="P5635" s="9"/>
      <c r="Q5635" s="9"/>
    </row>
    <row r="5636" spans="1:17" ht="14.5" hidden="1" customHeight="1" x14ac:dyDescent="0.35">
      <c r="A5636" s="9" t="s">
        <v>85</v>
      </c>
      <c r="B5636" s="157" t="s">
        <v>1088</v>
      </c>
      <c r="C5636" s="9" t="s">
        <v>2592</v>
      </c>
      <c r="D5636" s="9"/>
      <c r="E5636" s="10">
        <v>44727</v>
      </c>
      <c r="F5636" s="100">
        <f>SUM(J5636:L5636)</f>
        <v>180</v>
      </c>
      <c r="G5636" s="100">
        <f>SUM(Table3[[#This Row],[Kim Dệt Ngày]:[Kim Khác Đêm]])</f>
        <v>0</v>
      </c>
      <c r="H5636" s="10">
        <v>44743</v>
      </c>
      <c r="I5636" s="10">
        <v>44749</v>
      </c>
      <c r="J5636" s="9">
        <f>36+24+24+36+24</f>
        <v>144</v>
      </c>
      <c r="K5636" s="9"/>
      <c r="L5636" s="9">
        <f>24+12</f>
        <v>36</v>
      </c>
      <c r="M5636" s="11"/>
      <c r="N5636" s="11"/>
      <c r="O5636" s="9"/>
      <c r="P5636" s="9"/>
      <c r="Q5636" s="9"/>
    </row>
    <row r="5637" spans="1:17" ht="14.5" hidden="1" customHeight="1" x14ac:dyDescent="0.35">
      <c r="A5637" s="9" t="s">
        <v>63</v>
      </c>
      <c r="B5637" s="157" t="s">
        <v>1088</v>
      </c>
      <c r="C5637" s="9" t="s">
        <v>2592</v>
      </c>
      <c r="D5637" s="9"/>
      <c r="E5637" s="10">
        <v>44727</v>
      </c>
      <c r="F5637" s="100">
        <f>SUM(J5637:L5637)</f>
        <v>132</v>
      </c>
      <c r="G5637" s="100">
        <f>SUM(Table3[[#This Row],[Kim Dệt Ngày]:[Kim Khác Đêm]])</f>
        <v>0</v>
      </c>
      <c r="H5637" s="10">
        <v>44749</v>
      </c>
      <c r="I5637" s="10">
        <v>44752</v>
      </c>
      <c r="J5637" s="9">
        <f>48+12</f>
        <v>60</v>
      </c>
      <c r="K5637" s="9"/>
      <c r="L5637" s="9">
        <f>72</f>
        <v>72</v>
      </c>
      <c r="M5637" s="11"/>
      <c r="N5637" s="11"/>
      <c r="O5637" s="9"/>
      <c r="P5637" s="9"/>
      <c r="Q5637" s="9"/>
    </row>
    <row r="5638" spans="1:17" ht="14.5" hidden="1" customHeight="1" x14ac:dyDescent="0.35">
      <c r="A5638" s="9" t="s">
        <v>88</v>
      </c>
      <c r="B5638" s="157" t="s">
        <v>1088</v>
      </c>
      <c r="C5638" s="9" t="s">
        <v>2592</v>
      </c>
      <c r="D5638" s="9"/>
      <c r="E5638" s="10">
        <v>44727</v>
      </c>
      <c r="F5638" s="100">
        <f>SUM(J5638:L5638)</f>
        <v>24</v>
      </c>
      <c r="G5638" s="100">
        <f>SUM(Table3[[#This Row],[Kim Dệt Ngày]:[Kim Khác Đêm]])</f>
        <v>0</v>
      </c>
      <c r="H5638" s="10">
        <v>44749</v>
      </c>
      <c r="I5638" s="10">
        <v>44749</v>
      </c>
      <c r="J5638" s="9">
        <f>24</f>
        <v>24</v>
      </c>
      <c r="K5638" s="9"/>
      <c r="L5638" s="9"/>
      <c r="M5638" s="11"/>
      <c r="N5638" s="11"/>
      <c r="O5638" s="9"/>
      <c r="P5638" s="9"/>
      <c r="Q5638" s="9"/>
    </row>
    <row r="5639" spans="1:17" ht="14.5" hidden="1" customHeight="1" x14ac:dyDescent="0.35">
      <c r="A5639" s="9" t="s">
        <v>85</v>
      </c>
      <c r="B5639" s="157" t="s">
        <v>1088</v>
      </c>
      <c r="C5639" s="9" t="s">
        <v>2592</v>
      </c>
      <c r="D5639" s="9"/>
      <c r="E5639" s="10">
        <v>44727</v>
      </c>
      <c r="F5639" s="100">
        <f>SUM(J5639:L5639)</f>
        <v>108</v>
      </c>
      <c r="G5639" s="100">
        <f>SUM(Table3[[#This Row],[Kim Dệt Ngày]:[Kim Khác Đêm]])</f>
        <v>0</v>
      </c>
      <c r="H5639" s="10">
        <v>44750</v>
      </c>
      <c r="I5639" s="10">
        <v>44750</v>
      </c>
      <c r="J5639" s="9">
        <f>36</f>
        <v>36</v>
      </c>
      <c r="K5639" s="9"/>
      <c r="L5639" s="9">
        <f>72</f>
        <v>72</v>
      </c>
      <c r="M5639" s="11"/>
      <c r="N5639" s="11"/>
      <c r="O5639" s="9"/>
      <c r="P5639" s="9"/>
      <c r="Q5639" s="9"/>
    </row>
    <row r="5640" spans="1:17" x14ac:dyDescent="0.35">
      <c r="A5640" s="9" t="s">
        <v>26</v>
      </c>
      <c r="B5640" s="9" t="s">
        <v>1198</v>
      </c>
      <c r="C5640" s="9" t="s">
        <v>18</v>
      </c>
      <c r="D5640" s="9"/>
      <c r="E5640" s="10">
        <v>44749</v>
      </c>
      <c r="F5640" s="100">
        <f>SUM(J5640:L5640)</f>
        <v>384</v>
      </c>
      <c r="G5640" s="100">
        <f>SUM(Table3[[#This Row],[Kim Dệt Ngày]:[Kim Khác Đêm]])</f>
        <v>0</v>
      </c>
      <c r="H5640" s="10">
        <v>44760</v>
      </c>
      <c r="I5640" s="10"/>
      <c r="J5640" s="9">
        <f>60+72+60+60</f>
        <v>252</v>
      </c>
      <c r="K5640" s="9">
        <f>36+48+24</f>
        <v>108</v>
      </c>
      <c r="L5640" s="9">
        <f>24</f>
        <v>24</v>
      </c>
      <c r="M5640" s="11"/>
      <c r="N5640" s="11"/>
      <c r="O5640" s="9"/>
      <c r="P5640" s="9"/>
      <c r="Q5640" s="9"/>
    </row>
    <row r="5641" spans="1:17" ht="14.5" hidden="1" customHeight="1" x14ac:dyDescent="0.35">
      <c r="A5641" s="9" t="s">
        <v>26</v>
      </c>
      <c r="B5641" s="150" t="s">
        <v>1198</v>
      </c>
      <c r="C5641" s="9" t="s">
        <v>25</v>
      </c>
      <c r="D5641" s="9"/>
      <c r="E5641" s="10">
        <v>44749</v>
      </c>
      <c r="F5641" s="100">
        <f>SUM(J5641:L5641)</f>
        <v>492</v>
      </c>
      <c r="G5641" s="100">
        <f>SUM(Table3[[#This Row],[Kim Dệt Ngày]:[Kim Khác Đêm]])</f>
        <v>0</v>
      </c>
      <c r="H5641" s="10">
        <v>44750</v>
      </c>
      <c r="I5641" s="10">
        <v>44760</v>
      </c>
      <c r="J5641" s="9">
        <f>60+48+12+72+72+12</f>
        <v>276</v>
      </c>
      <c r="K5641" s="9"/>
      <c r="L5641" s="9">
        <f>60+84+72</f>
        <v>216</v>
      </c>
      <c r="M5641" s="11"/>
      <c r="N5641" s="11"/>
      <c r="O5641" s="9"/>
      <c r="P5641" s="9"/>
      <c r="Q5641" s="9"/>
    </row>
    <row r="5642" spans="1:17" x14ac:dyDescent="0.35">
      <c r="A5642" s="9" t="s">
        <v>29</v>
      </c>
      <c r="B5642" s="150" t="s">
        <v>24</v>
      </c>
      <c r="C5642" s="9" t="s">
        <v>18</v>
      </c>
      <c r="D5642" s="9"/>
      <c r="E5642" s="10">
        <v>44756</v>
      </c>
      <c r="F5642" s="100">
        <f>SUM(J5642:L5642)</f>
        <v>288</v>
      </c>
      <c r="G5642" s="100">
        <f>SUM(Table3[[#This Row],[Kim Dệt Ngày]:[Kim Khác Đêm]])</f>
        <v>0</v>
      </c>
      <c r="H5642" s="10">
        <v>44761</v>
      </c>
      <c r="I5642" s="10"/>
      <c r="J5642" s="9">
        <f>72+60</f>
        <v>132</v>
      </c>
      <c r="K5642" s="9">
        <f>36+36+60</f>
        <v>132</v>
      </c>
      <c r="L5642" s="9">
        <f>24</f>
        <v>24</v>
      </c>
      <c r="M5642" s="11"/>
      <c r="N5642" s="11"/>
      <c r="O5642" s="9"/>
      <c r="P5642" s="9"/>
      <c r="Q5642" s="9"/>
    </row>
    <row r="5643" spans="1:17" ht="14.5" hidden="1" customHeight="1" x14ac:dyDescent="0.35">
      <c r="A5643" s="9" t="s">
        <v>26</v>
      </c>
      <c r="B5643" s="9" t="s">
        <v>1198</v>
      </c>
      <c r="C5643" s="9" t="s">
        <v>25</v>
      </c>
      <c r="D5643" s="9"/>
      <c r="E5643" s="10">
        <v>44733</v>
      </c>
      <c r="F5643" s="100">
        <f>SUM(J5643:L5643)</f>
        <v>480</v>
      </c>
      <c r="G5643" s="100">
        <f>SUM(Table3[[#This Row],[Kim Dệt Ngày]:[Kim Khác Đêm]])</f>
        <v>5</v>
      </c>
      <c r="H5643" s="10">
        <v>44743</v>
      </c>
      <c r="I5643" s="10">
        <v>44749</v>
      </c>
      <c r="J5643" s="9">
        <f>60+60+48+36+48+72</f>
        <v>324</v>
      </c>
      <c r="K5643" s="9"/>
      <c r="L5643" s="9">
        <f>84+72</f>
        <v>156</v>
      </c>
      <c r="M5643" s="11">
        <f>2</f>
        <v>2</v>
      </c>
      <c r="N5643" s="11">
        <f>3</f>
        <v>3</v>
      </c>
      <c r="O5643" s="9"/>
      <c r="P5643" s="9"/>
      <c r="Q5643" s="9"/>
    </row>
    <row r="5644" spans="1:17" x14ac:dyDescent="0.35">
      <c r="A5644" s="9" t="s">
        <v>31</v>
      </c>
      <c r="B5644" s="9" t="s">
        <v>234</v>
      </c>
      <c r="C5644" s="9" t="s">
        <v>18</v>
      </c>
      <c r="D5644" s="9"/>
      <c r="E5644" s="10">
        <v>44754</v>
      </c>
      <c r="F5644" s="100">
        <f>SUM(J5644:L5644)</f>
        <v>264</v>
      </c>
      <c r="G5644" s="100">
        <f>SUM(Table3[[#This Row],[Kim Dệt Ngày]:[Kim Khác Đêm]])</f>
        <v>0</v>
      </c>
      <c r="H5644" s="10">
        <v>44761</v>
      </c>
      <c r="I5644" s="10"/>
      <c r="J5644" s="9">
        <f>72+60</f>
        <v>132</v>
      </c>
      <c r="K5644" s="9">
        <f>36+48+36</f>
        <v>120</v>
      </c>
      <c r="L5644" s="9">
        <f>12</f>
        <v>12</v>
      </c>
      <c r="M5644" s="11"/>
      <c r="N5644" s="11"/>
      <c r="O5644" s="9"/>
      <c r="P5644" s="9"/>
      <c r="Q5644" s="9"/>
    </row>
    <row r="5645" spans="1:17" ht="14.5" hidden="1" customHeight="1" x14ac:dyDescent="0.35">
      <c r="A5645" s="9" t="s">
        <v>31</v>
      </c>
      <c r="B5645" s="9" t="s">
        <v>1113</v>
      </c>
      <c r="C5645" s="9" t="s">
        <v>28</v>
      </c>
      <c r="D5645" s="9"/>
      <c r="E5645" s="10">
        <v>44738</v>
      </c>
      <c r="F5645" s="100">
        <f>SUM(J5645:L5645)</f>
        <v>480</v>
      </c>
      <c r="G5645" s="100">
        <f>SUM(Table3[[#This Row],[Kim Dệt Ngày]:[Kim Khác Đêm]])</f>
        <v>4</v>
      </c>
      <c r="H5645" s="10">
        <v>44743</v>
      </c>
      <c r="I5645" s="10">
        <v>44750</v>
      </c>
      <c r="J5645" s="9">
        <f>48+36+60+72+48+72+60</f>
        <v>396</v>
      </c>
      <c r="K5645" s="9"/>
      <c r="L5645" s="9">
        <f>24+60</f>
        <v>84</v>
      </c>
      <c r="M5645" s="11">
        <f>4</f>
        <v>4</v>
      </c>
      <c r="N5645" s="11"/>
      <c r="O5645" s="9"/>
      <c r="P5645" s="9"/>
      <c r="Q5645" s="9"/>
    </row>
    <row r="5646" spans="1:17" ht="14.5" hidden="1" customHeight="1" x14ac:dyDescent="0.35">
      <c r="A5646" s="9" t="s">
        <v>76</v>
      </c>
      <c r="B5646" s="9" t="s">
        <v>1113</v>
      </c>
      <c r="C5646" s="9" t="s">
        <v>28</v>
      </c>
      <c r="D5646" s="9"/>
      <c r="E5646" s="10">
        <v>44738</v>
      </c>
      <c r="F5646" s="100">
        <f>SUM(J5646:L5646)</f>
        <v>1008</v>
      </c>
      <c r="G5646" s="100">
        <f>SUM(Table3[[#This Row],[Kim Dệt Ngày]:[Kim Khác Đêm]])</f>
        <v>0</v>
      </c>
      <c r="H5646" s="10">
        <v>44743</v>
      </c>
      <c r="I5646" s="10">
        <v>44750</v>
      </c>
      <c r="J5646" s="9">
        <f>48+60+48+60+60+60+72</f>
        <v>408</v>
      </c>
      <c r="K5646" s="9"/>
      <c r="L5646" s="9">
        <f>84+84+72+84+72+72+72+60</f>
        <v>600</v>
      </c>
      <c r="M5646" s="11"/>
      <c r="N5646" s="11"/>
      <c r="O5646" s="9"/>
      <c r="P5646" s="9"/>
      <c r="Q5646" s="9"/>
    </row>
    <row r="5647" spans="1:17" ht="14.5" hidden="1" customHeight="1" x14ac:dyDescent="0.35">
      <c r="A5647" s="9" t="s">
        <v>31</v>
      </c>
      <c r="B5647" s="9" t="s">
        <v>1113</v>
      </c>
      <c r="C5647" s="9" t="s">
        <v>28</v>
      </c>
      <c r="D5647" s="9"/>
      <c r="E5647" s="10">
        <v>44750</v>
      </c>
      <c r="F5647" s="100">
        <f>SUM(J5647:L5647)</f>
        <v>204</v>
      </c>
      <c r="G5647" s="100">
        <f>SUM(Table3[[#This Row],[Kim Dệt Ngày]:[Kim Khác Đêm]])</f>
        <v>0</v>
      </c>
      <c r="H5647" s="10">
        <v>44751</v>
      </c>
      <c r="I5647" s="10">
        <v>44753</v>
      </c>
      <c r="J5647" s="9">
        <f>48+60</f>
        <v>108</v>
      </c>
      <c r="K5647" s="9"/>
      <c r="L5647" s="9">
        <f>24+72</f>
        <v>96</v>
      </c>
      <c r="M5647" s="11"/>
      <c r="N5647" s="11"/>
      <c r="O5647" s="9"/>
      <c r="P5647" s="9"/>
      <c r="Q5647" s="9"/>
    </row>
    <row r="5648" spans="1:17" ht="14.5" hidden="1" customHeight="1" x14ac:dyDescent="0.35">
      <c r="A5648" s="9" t="s">
        <v>76</v>
      </c>
      <c r="B5648" s="9" t="s">
        <v>1113</v>
      </c>
      <c r="C5648" s="9" t="s">
        <v>28</v>
      </c>
      <c r="D5648" s="9"/>
      <c r="E5648" s="10">
        <v>44750</v>
      </c>
      <c r="F5648" s="100">
        <f>SUM(J5648:L5648)</f>
        <v>576</v>
      </c>
      <c r="G5648" s="100">
        <f>SUM(Table3[[#This Row],[Kim Dệt Ngày]:[Kim Khác Đêm]])</f>
        <v>0</v>
      </c>
      <c r="H5648" s="10">
        <v>44751</v>
      </c>
      <c r="I5648" s="10">
        <v>44756</v>
      </c>
      <c r="J5648" s="9">
        <f>60+60+60+60</f>
        <v>240</v>
      </c>
      <c r="K5648" s="9"/>
      <c r="L5648" s="9">
        <f>72+60+60+60+72+12</f>
        <v>336</v>
      </c>
      <c r="M5648" s="11"/>
      <c r="N5648" s="11"/>
      <c r="O5648" s="9"/>
      <c r="P5648" s="9"/>
      <c r="Q5648" s="9"/>
    </row>
    <row r="5649" spans="1:17" x14ac:dyDescent="0.35">
      <c r="A5649" s="9" t="s">
        <v>33</v>
      </c>
      <c r="B5649" s="9" t="s">
        <v>2603</v>
      </c>
      <c r="C5649" s="9" t="s">
        <v>39</v>
      </c>
      <c r="D5649" s="9"/>
      <c r="E5649" s="10">
        <v>44760</v>
      </c>
      <c r="F5649" s="100">
        <f>SUM(J5649:L5649)</f>
        <v>324</v>
      </c>
      <c r="G5649" s="100">
        <f>SUM(Table3[[#This Row],[Kim Dệt Ngày]:[Kim Khác Đêm]])</f>
        <v>0</v>
      </c>
      <c r="H5649" s="10">
        <v>44761</v>
      </c>
      <c r="I5649" s="10"/>
      <c r="J5649" s="9">
        <f>84+72+72</f>
        <v>228</v>
      </c>
      <c r="K5649" s="9">
        <f>36+48+12</f>
        <v>96</v>
      </c>
      <c r="L5649" s="9"/>
      <c r="M5649" s="11"/>
      <c r="N5649" s="11"/>
      <c r="O5649" s="9"/>
      <c r="P5649" s="9"/>
      <c r="Q5649" s="9"/>
    </row>
    <row r="5650" spans="1:17" ht="14.5" hidden="1" customHeight="1" x14ac:dyDescent="0.35">
      <c r="A5650" s="9" t="s">
        <v>78</v>
      </c>
      <c r="B5650" s="9" t="s">
        <v>231</v>
      </c>
      <c r="C5650" s="9" t="s">
        <v>18</v>
      </c>
      <c r="D5650" s="9"/>
      <c r="E5650" s="10">
        <v>44757</v>
      </c>
      <c r="F5650" s="100">
        <f>SUM(J5650:L5650)</f>
        <v>396</v>
      </c>
      <c r="G5650" s="100">
        <f>SUM(Table3[[#This Row],[Kim Dệt Ngày]:[Kim Khác Đêm]])</f>
        <v>0</v>
      </c>
      <c r="H5650" s="10">
        <v>44757</v>
      </c>
      <c r="I5650" s="10">
        <v>44760</v>
      </c>
      <c r="J5650" s="9">
        <f>48+96</f>
        <v>144</v>
      </c>
      <c r="K5650" s="9"/>
      <c r="L5650" s="9">
        <f>60+96+96</f>
        <v>252</v>
      </c>
      <c r="M5650" s="11"/>
      <c r="N5650" s="11"/>
      <c r="O5650" s="9"/>
      <c r="P5650" s="9"/>
      <c r="Q5650" s="9"/>
    </row>
    <row r="5651" spans="1:17" ht="14.5" hidden="1" customHeight="1" x14ac:dyDescent="0.35">
      <c r="A5651" s="9" t="s">
        <v>78</v>
      </c>
      <c r="B5651" s="9" t="s">
        <v>231</v>
      </c>
      <c r="C5651" s="9" t="s">
        <v>25</v>
      </c>
      <c r="D5651" s="9"/>
      <c r="E5651" s="10">
        <v>44757</v>
      </c>
      <c r="F5651" s="100">
        <f>SUM(J5651:L5651)</f>
        <v>348</v>
      </c>
      <c r="G5651" s="100">
        <f>SUM(Table3[[#This Row],[Kim Dệt Ngày]:[Kim Khác Đêm]])</f>
        <v>0</v>
      </c>
      <c r="H5651" s="10">
        <v>44760</v>
      </c>
      <c r="I5651" s="10">
        <v>44762</v>
      </c>
      <c r="J5651" s="9">
        <f>96+48</f>
        <v>144</v>
      </c>
      <c r="K5651" s="9"/>
      <c r="L5651" s="9">
        <f>84+96+24</f>
        <v>204</v>
      </c>
      <c r="M5651" s="11"/>
      <c r="N5651" s="11"/>
      <c r="O5651" s="9"/>
      <c r="P5651" s="9"/>
      <c r="Q5651" s="9"/>
    </row>
    <row r="5652" spans="1:17" ht="14.5" hidden="1" customHeight="1" x14ac:dyDescent="0.35">
      <c r="A5652" s="9" t="s">
        <v>78</v>
      </c>
      <c r="B5652" s="9" t="s">
        <v>231</v>
      </c>
      <c r="C5652" s="9" t="s">
        <v>39</v>
      </c>
      <c r="D5652" s="9"/>
      <c r="E5652" s="10">
        <v>44757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44762</v>
      </c>
      <c r="I5652" s="10">
        <v>44763</v>
      </c>
      <c r="J5652" s="9">
        <f>84</f>
        <v>84</v>
      </c>
      <c r="K5652" s="9"/>
      <c r="L5652" s="9">
        <f>84+24</f>
        <v>108</v>
      </c>
      <c r="M5652" s="11"/>
      <c r="N5652" s="11"/>
      <c r="O5652" s="9"/>
      <c r="P5652" s="9"/>
      <c r="Q5652" s="9"/>
    </row>
    <row r="5653" spans="1:17" x14ac:dyDescent="0.35">
      <c r="A5653" s="9" t="s">
        <v>35</v>
      </c>
      <c r="B5653" s="9" t="s">
        <v>2603</v>
      </c>
      <c r="C5653" s="9" t="s">
        <v>18</v>
      </c>
      <c r="D5653" s="9"/>
      <c r="E5653" s="10">
        <v>44760</v>
      </c>
      <c r="F5653" s="100">
        <f>SUM(J5653:L5653)</f>
        <v>324</v>
      </c>
      <c r="G5653" s="100">
        <f>SUM(Table3[[#This Row],[Kim Dệt Ngày]:[Kim Khác Đêm]])</f>
        <v>0</v>
      </c>
      <c r="H5653" s="10">
        <v>44761</v>
      </c>
      <c r="I5653" s="10"/>
      <c r="J5653" s="9">
        <f>72+72+60</f>
        <v>204</v>
      </c>
      <c r="K5653" s="9">
        <f>48+48+24</f>
        <v>120</v>
      </c>
      <c r="L5653" s="9"/>
      <c r="M5653" s="11"/>
      <c r="N5653" s="11"/>
      <c r="O5653" s="9"/>
      <c r="P5653" s="9"/>
      <c r="Q5653" s="9"/>
    </row>
    <row r="5654" spans="1:17" ht="14.5" hidden="1" customHeight="1" x14ac:dyDescent="0.35">
      <c r="A5654" s="9" t="s">
        <v>96</v>
      </c>
      <c r="B5654" s="9" t="s">
        <v>1060</v>
      </c>
      <c r="C5654" s="9" t="s">
        <v>25</v>
      </c>
      <c r="D5654" s="9"/>
      <c r="E5654" s="10">
        <v>44733</v>
      </c>
      <c r="F5654" s="100">
        <f>SUM(J5654:L5654)</f>
        <v>528</v>
      </c>
      <c r="G5654" s="100">
        <f>SUM(Table3[[#This Row],[Kim Dệt Ngày]:[Kim Khác Đêm]])</f>
        <v>0</v>
      </c>
      <c r="H5654" s="10">
        <v>44750</v>
      </c>
      <c r="I5654" s="10">
        <v>44754</v>
      </c>
      <c r="J5654" s="9">
        <f>60+72+72</f>
        <v>204</v>
      </c>
      <c r="K5654" s="9"/>
      <c r="L5654" s="9">
        <f>84+84+60+84+12</f>
        <v>324</v>
      </c>
      <c r="M5654" s="11"/>
      <c r="N5654" s="11"/>
      <c r="O5654" s="9"/>
      <c r="P5654" s="9"/>
      <c r="Q5654" s="9"/>
    </row>
    <row r="5655" spans="1:17" ht="14.5" hidden="1" customHeight="1" x14ac:dyDescent="0.35">
      <c r="A5655" s="9" t="s">
        <v>96</v>
      </c>
      <c r="B5655" s="9" t="s">
        <v>1060</v>
      </c>
      <c r="C5655" s="9" t="s">
        <v>28</v>
      </c>
      <c r="D5655" s="9"/>
      <c r="E5655" s="10">
        <v>44733</v>
      </c>
      <c r="F5655" s="100">
        <f>SUM(J5655:L5655)</f>
        <v>216</v>
      </c>
      <c r="G5655" s="100">
        <f>SUM(Table3[[#This Row],[Kim Dệt Ngày]:[Kim Khác Đêm]])</f>
        <v>0</v>
      </c>
      <c r="H5655" s="10">
        <v>44755</v>
      </c>
      <c r="I5655" s="10">
        <v>44756</v>
      </c>
      <c r="J5655" s="9">
        <f>72</f>
        <v>72</v>
      </c>
      <c r="K5655" s="9"/>
      <c r="L5655" s="9">
        <f>60+84</f>
        <v>144</v>
      </c>
      <c r="M5655" s="11"/>
      <c r="N5655" s="11"/>
      <c r="O5655" s="9"/>
      <c r="P5655" s="9"/>
      <c r="Q5655" s="9"/>
    </row>
    <row r="5656" spans="1:17" ht="14.5" hidden="1" customHeight="1" x14ac:dyDescent="0.35">
      <c r="A5656" s="9" t="s">
        <v>96</v>
      </c>
      <c r="B5656" s="9" t="s">
        <v>1060</v>
      </c>
      <c r="C5656" s="9" t="s">
        <v>18</v>
      </c>
      <c r="D5656" s="9"/>
      <c r="E5656" s="10">
        <v>44733</v>
      </c>
      <c r="F5656" s="100">
        <f>SUM(J5656:L5656)</f>
        <v>924</v>
      </c>
      <c r="G5656" s="100">
        <f>SUM(Table3[[#This Row],[Kim Dệt Ngày]:[Kim Khác Đêm]])</f>
        <v>0</v>
      </c>
      <c r="H5656" s="10">
        <v>44743</v>
      </c>
      <c r="I5656" s="10">
        <v>44750</v>
      </c>
      <c r="J5656" s="9">
        <f>72+72+84+84+12+36+24</f>
        <v>384</v>
      </c>
      <c r="K5656" s="9"/>
      <c r="L5656" s="9">
        <f>84+72+84+84+72+60+84</f>
        <v>540</v>
      </c>
      <c r="M5656" s="11"/>
      <c r="N5656" s="11"/>
      <c r="O5656" s="9"/>
      <c r="P5656" s="9"/>
      <c r="Q5656" s="9"/>
    </row>
    <row r="5657" spans="1:17" ht="14.5" hidden="1" customHeight="1" x14ac:dyDescent="0.35">
      <c r="A5657" s="9" t="s">
        <v>96</v>
      </c>
      <c r="B5657" s="9" t="s">
        <v>1060</v>
      </c>
      <c r="C5657" s="9" t="s">
        <v>39</v>
      </c>
      <c r="D5657" s="9"/>
      <c r="E5657" s="10">
        <v>44756</v>
      </c>
      <c r="F5657" s="100">
        <f>SUM(J5657:L5657)</f>
        <v>324</v>
      </c>
      <c r="G5657" s="100">
        <f>SUM(Table3[[#This Row],[Kim Dệt Ngày]:[Kim Khác Đêm]])</f>
        <v>0</v>
      </c>
      <c r="H5657" s="10">
        <v>44758</v>
      </c>
      <c r="I5657" s="10">
        <v>44761</v>
      </c>
      <c r="J5657" s="9">
        <f>84+12</f>
        <v>96</v>
      </c>
      <c r="K5657" s="9"/>
      <c r="L5657" s="9">
        <f>60+84+84</f>
        <v>228</v>
      </c>
      <c r="M5657" s="11"/>
      <c r="N5657" s="11"/>
      <c r="O5657" s="9"/>
      <c r="P5657" s="9"/>
      <c r="Q5657" s="9"/>
    </row>
    <row r="5658" spans="1:17" ht="14.5" hidden="1" customHeight="1" x14ac:dyDescent="0.35">
      <c r="A5658" s="9" t="s">
        <v>96</v>
      </c>
      <c r="B5658" s="9" t="s">
        <v>1060</v>
      </c>
      <c r="C5658" s="9" t="s">
        <v>39</v>
      </c>
      <c r="D5658" s="9"/>
      <c r="E5658" s="10">
        <v>44733</v>
      </c>
      <c r="F5658" s="100">
        <f>SUM(J5658:L5658)</f>
        <v>96</v>
      </c>
      <c r="G5658" s="100">
        <f>SUM(Table3[[#This Row],[Kim Dệt Ngày]:[Kim Khác Đêm]])</f>
        <v>0</v>
      </c>
      <c r="H5658" s="10">
        <v>44754</v>
      </c>
      <c r="I5658" s="10">
        <v>44755</v>
      </c>
      <c r="J5658" s="9">
        <f>48</f>
        <v>48</v>
      </c>
      <c r="K5658" s="9"/>
      <c r="L5658" s="9">
        <f>48</f>
        <v>48</v>
      </c>
      <c r="M5658" s="11"/>
      <c r="N5658" s="11"/>
      <c r="O5658" s="9"/>
      <c r="P5658" s="9"/>
      <c r="Q5658" s="9"/>
    </row>
    <row r="5659" spans="1:17" ht="14.5" hidden="1" customHeight="1" x14ac:dyDescent="0.35">
      <c r="A5659" s="9" t="s">
        <v>96</v>
      </c>
      <c r="B5659" s="9" t="s">
        <v>1060</v>
      </c>
      <c r="C5659" s="9" t="s">
        <v>28</v>
      </c>
      <c r="D5659" s="9"/>
      <c r="E5659" s="10">
        <v>44756</v>
      </c>
      <c r="F5659" s="100">
        <f>SUM(J5659:L5659)</f>
        <v>216</v>
      </c>
      <c r="G5659" s="100">
        <f>SUM(Table3[[#This Row],[Kim Dệt Ngày]:[Kim Khác Đêm]])</f>
        <v>0</v>
      </c>
      <c r="H5659" s="10">
        <v>44757</v>
      </c>
      <c r="I5659" s="10">
        <v>44758</v>
      </c>
      <c r="J5659" s="9">
        <f>72+48</f>
        <v>120</v>
      </c>
      <c r="K5659" s="9"/>
      <c r="L5659" s="9">
        <f>84+12</f>
        <v>96</v>
      </c>
      <c r="M5659" s="11"/>
      <c r="N5659" s="11"/>
      <c r="O5659" s="9"/>
      <c r="P5659" s="9"/>
      <c r="Q5659" s="9"/>
    </row>
    <row r="5660" spans="1:17" x14ac:dyDescent="0.35">
      <c r="A5660" s="9" t="s">
        <v>37</v>
      </c>
      <c r="B5660" s="9" t="s">
        <v>30</v>
      </c>
      <c r="C5660" s="9" t="s">
        <v>25</v>
      </c>
      <c r="D5660" s="9"/>
      <c r="E5660" s="10">
        <v>44756</v>
      </c>
      <c r="F5660" s="100">
        <f>SUM(J5660:L5660)</f>
        <v>60</v>
      </c>
      <c r="G5660" s="100">
        <f>SUM(Table3[[#This Row],[Kim Dệt Ngày]:[Kim Khác Đêm]])</f>
        <v>0</v>
      </c>
      <c r="H5660" s="10">
        <v>44763</v>
      </c>
      <c r="I5660" s="10"/>
      <c r="J5660" s="9">
        <f>48</f>
        <v>48</v>
      </c>
      <c r="K5660" s="9">
        <f>12</f>
        <v>12</v>
      </c>
      <c r="L5660" s="9"/>
      <c r="M5660" s="11"/>
      <c r="N5660" s="11"/>
      <c r="O5660" s="9"/>
      <c r="P5660" s="9"/>
      <c r="Q5660" s="9"/>
    </row>
    <row r="5661" spans="1:17" ht="14.5" hidden="1" customHeight="1" x14ac:dyDescent="0.35">
      <c r="A5661" s="9" t="s">
        <v>70</v>
      </c>
      <c r="B5661" s="9" t="s">
        <v>433</v>
      </c>
      <c r="C5661" s="9" t="s">
        <v>79</v>
      </c>
      <c r="D5661" s="9"/>
      <c r="E5661" s="10">
        <v>44746</v>
      </c>
      <c r="F5661" s="100">
        <f>SUM(J5661:L5661)</f>
        <v>60</v>
      </c>
      <c r="G5661" s="100">
        <f>SUM(Table3[[#This Row],[Kim Dệt Ngày]:[Kim Khác Đêm]])</f>
        <v>0</v>
      </c>
      <c r="H5661" s="10">
        <v>44756</v>
      </c>
      <c r="I5661" s="10">
        <v>44756</v>
      </c>
      <c r="J5661" s="9"/>
      <c r="K5661" s="9"/>
      <c r="L5661" s="9">
        <f>60</f>
        <v>60</v>
      </c>
      <c r="M5661" s="11"/>
      <c r="N5661" s="11"/>
      <c r="O5661" s="9"/>
      <c r="P5661" s="9"/>
      <c r="Q5661" s="9"/>
    </row>
    <row r="5662" spans="1:17" ht="14.5" hidden="1" customHeight="1" x14ac:dyDescent="0.35">
      <c r="A5662" s="9" t="s">
        <v>68</v>
      </c>
      <c r="B5662" s="9" t="s">
        <v>433</v>
      </c>
      <c r="C5662" s="9" t="s">
        <v>79</v>
      </c>
      <c r="D5662" s="9"/>
      <c r="E5662" s="10">
        <v>44746</v>
      </c>
      <c r="F5662" s="100">
        <f>SUM(J5662:L5662)</f>
        <v>396</v>
      </c>
      <c r="G5662" s="100">
        <f>SUM(Table3[[#This Row],[Kim Dệt Ngày]:[Kim Khác Đêm]])</f>
        <v>0</v>
      </c>
      <c r="H5662" s="10">
        <v>44757</v>
      </c>
      <c r="I5662" s="10">
        <v>44759</v>
      </c>
      <c r="J5662" s="9">
        <f>84+36</f>
        <v>120</v>
      </c>
      <c r="K5662" s="9"/>
      <c r="L5662" s="9">
        <f>132+108+36</f>
        <v>276</v>
      </c>
      <c r="M5662" s="11"/>
      <c r="N5662" s="11"/>
      <c r="O5662" s="9"/>
      <c r="P5662" s="9"/>
      <c r="Q5662" s="9"/>
    </row>
    <row r="5663" spans="1:17" ht="14.5" hidden="1" customHeight="1" x14ac:dyDescent="0.35">
      <c r="A5663" s="9" t="s">
        <v>68</v>
      </c>
      <c r="B5663" s="9" t="s">
        <v>433</v>
      </c>
      <c r="C5663" s="9" t="s">
        <v>18</v>
      </c>
      <c r="D5663" s="9"/>
      <c r="E5663" s="10">
        <v>44746</v>
      </c>
      <c r="F5663" s="100">
        <f>SUM(J5663:L5663)</f>
        <v>168</v>
      </c>
      <c r="G5663" s="100">
        <f>SUM(Table3[[#This Row],[Kim Dệt Ngày]:[Kim Khác Đêm]])</f>
        <v>0</v>
      </c>
      <c r="H5663" s="10">
        <v>44760</v>
      </c>
      <c r="I5663" s="10">
        <v>44760</v>
      </c>
      <c r="J5663" s="9">
        <f>108</f>
        <v>108</v>
      </c>
      <c r="K5663" s="9"/>
      <c r="L5663" s="9">
        <f>60</f>
        <v>60</v>
      </c>
      <c r="M5663" s="11"/>
      <c r="N5663" s="11"/>
      <c r="O5663" s="9"/>
      <c r="P5663" s="9"/>
      <c r="Q5663" s="9"/>
    </row>
    <row r="5664" spans="1:17" ht="14.5" hidden="1" customHeight="1" x14ac:dyDescent="0.35">
      <c r="A5664" s="9" t="s">
        <v>68</v>
      </c>
      <c r="B5664" s="9" t="s">
        <v>433</v>
      </c>
      <c r="C5664" s="9" t="s">
        <v>1394</v>
      </c>
      <c r="D5664" s="9"/>
      <c r="E5664" s="10">
        <v>44746</v>
      </c>
      <c r="F5664" s="100">
        <f>SUM(J5664:L5664)</f>
        <v>276</v>
      </c>
      <c r="G5664" s="100">
        <f>SUM(Table3[[#This Row],[Kim Dệt Ngày]:[Kim Khác Đêm]])</f>
        <v>0</v>
      </c>
      <c r="H5664" s="10">
        <v>44760</v>
      </c>
      <c r="I5664" s="10">
        <v>44761</v>
      </c>
      <c r="J5664" s="9">
        <f>108</f>
        <v>108</v>
      </c>
      <c r="K5664" s="9">
        <f>60</f>
        <v>60</v>
      </c>
      <c r="L5664" s="9">
        <f>48+60</f>
        <v>108</v>
      </c>
      <c r="M5664" s="11"/>
      <c r="N5664" s="11"/>
      <c r="O5664" s="9"/>
      <c r="P5664" s="9"/>
      <c r="Q5664" s="9"/>
    </row>
    <row r="5665" spans="1:17" ht="14.5" hidden="1" customHeight="1" x14ac:dyDescent="0.35">
      <c r="A5665" s="9" t="s">
        <v>68</v>
      </c>
      <c r="B5665" s="9" t="s">
        <v>424</v>
      </c>
      <c r="C5665" s="9" t="s">
        <v>79</v>
      </c>
      <c r="D5665" s="9"/>
      <c r="E5665" s="10">
        <v>44746</v>
      </c>
      <c r="F5665" s="100">
        <f>SUM(J5665:L5665)</f>
        <v>648</v>
      </c>
      <c r="G5665" s="100">
        <f>SUM(Table3[[#This Row],[Kim Dệt Ngày]:[Kim Khác Đêm]])</f>
        <v>0</v>
      </c>
      <c r="H5665" s="10">
        <v>44751</v>
      </c>
      <c r="I5665" s="10">
        <v>44756</v>
      </c>
      <c r="J5665" s="9">
        <f>0+24+72+96</f>
        <v>192</v>
      </c>
      <c r="K5665" s="9"/>
      <c r="L5665" s="9">
        <f>120+96+96+84+60</f>
        <v>456</v>
      </c>
      <c r="M5665" s="11"/>
      <c r="N5665" s="11"/>
      <c r="O5665" s="9"/>
      <c r="P5665" s="9"/>
      <c r="Q5665" s="9"/>
    </row>
    <row r="5666" spans="1:17" x14ac:dyDescent="0.35">
      <c r="A5666" s="9" t="s">
        <v>38</v>
      </c>
      <c r="B5666" s="9" t="s">
        <v>1230</v>
      </c>
      <c r="C5666" s="9" t="s">
        <v>39</v>
      </c>
      <c r="D5666" s="9"/>
      <c r="E5666" s="10">
        <v>44759</v>
      </c>
      <c r="F5666" s="100">
        <f>SUM(J5666:L5666)</f>
        <v>204</v>
      </c>
      <c r="G5666" s="100">
        <f>SUM(Table3[[#This Row],[Kim Dệt Ngày]:[Kim Khác Đêm]])</f>
        <v>0</v>
      </c>
      <c r="H5666" s="10">
        <v>44761</v>
      </c>
      <c r="I5666" s="10"/>
      <c r="J5666" s="9">
        <f>36+48+60</f>
        <v>144</v>
      </c>
      <c r="K5666" s="9">
        <f>48+12</f>
        <v>60</v>
      </c>
      <c r="L5666" s="9"/>
      <c r="M5666" s="11"/>
      <c r="N5666" s="11"/>
      <c r="O5666" s="9"/>
      <c r="P5666" s="9"/>
      <c r="Q5666" s="9"/>
    </row>
    <row r="5667" spans="1:17" x14ac:dyDescent="0.35">
      <c r="A5667" s="9" t="s">
        <v>40</v>
      </c>
      <c r="B5667" s="9" t="s">
        <v>1230</v>
      </c>
      <c r="C5667" s="9" t="s">
        <v>39</v>
      </c>
      <c r="D5667" s="9"/>
      <c r="E5667" s="10">
        <v>44759</v>
      </c>
      <c r="F5667" s="100">
        <f>SUM(J5667:L5667)</f>
        <v>0</v>
      </c>
      <c r="G5667" s="100">
        <f>SUM(Table3[[#This Row],[Kim Dệt Ngày]:[Kim Khác Đêm]])</f>
        <v>0</v>
      </c>
      <c r="H5667" s="10">
        <v>44761</v>
      </c>
      <c r="I5667" s="10"/>
      <c r="J5667" s="9"/>
      <c r="K5667" s="9"/>
      <c r="L5667" s="9"/>
      <c r="M5667" s="11"/>
      <c r="N5667" s="11"/>
      <c r="O5667" s="9"/>
      <c r="P5667" s="9"/>
      <c r="Q5667" s="9"/>
    </row>
    <row r="5668" spans="1:17" ht="14.5" hidden="1" customHeight="1" x14ac:dyDescent="0.35">
      <c r="A5668" s="9" t="s">
        <v>70</v>
      </c>
      <c r="B5668" s="9" t="s">
        <v>429</v>
      </c>
      <c r="C5668" s="9" t="s">
        <v>131</v>
      </c>
      <c r="D5668" s="9"/>
      <c r="E5668" s="10">
        <v>44746</v>
      </c>
      <c r="F5668" s="100">
        <f>SUM(J5668:L5668)</f>
        <v>324</v>
      </c>
      <c r="G5668" s="100">
        <f>SUM(Table3[[#This Row],[Kim Dệt Ngày]:[Kim Khác Đêm]])</f>
        <v>0</v>
      </c>
      <c r="H5668" s="10">
        <v>44751</v>
      </c>
      <c r="I5668" s="10">
        <v>44753</v>
      </c>
      <c r="J5668" s="9">
        <f>60+48</f>
        <v>108</v>
      </c>
      <c r="K5668" s="9"/>
      <c r="L5668" s="9">
        <f>108+108</f>
        <v>216</v>
      </c>
      <c r="M5668" s="11"/>
      <c r="N5668" s="11"/>
      <c r="O5668" s="9"/>
      <c r="P5668" s="9"/>
      <c r="Q5668" s="9"/>
    </row>
    <row r="5669" spans="1:17" ht="14.5" hidden="1" customHeight="1" x14ac:dyDescent="0.35">
      <c r="A5669" s="9" t="s">
        <v>70</v>
      </c>
      <c r="B5669" s="9" t="s">
        <v>429</v>
      </c>
      <c r="C5669" s="9" t="s">
        <v>18</v>
      </c>
      <c r="D5669" s="9"/>
      <c r="E5669" s="10">
        <v>44746</v>
      </c>
      <c r="F5669" s="100">
        <f>SUM(J5669:L5669)</f>
        <v>312</v>
      </c>
      <c r="G5669" s="100">
        <f>SUM(Table3[[#This Row],[Kim Dệt Ngày]:[Kim Khác Đêm]])</f>
        <v>0</v>
      </c>
      <c r="H5669" s="10">
        <v>44753</v>
      </c>
      <c r="I5669" s="10">
        <v>44755</v>
      </c>
      <c r="J5669" s="9">
        <f>36+72</f>
        <v>108</v>
      </c>
      <c r="K5669" s="9"/>
      <c r="L5669" s="9">
        <f>108+96</f>
        <v>204</v>
      </c>
      <c r="M5669" s="11"/>
      <c r="N5669" s="11"/>
      <c r="O5669" s="9"/>
      <c r="P5669" s="9"/>
      <c r="Q5669" s="9"/>
    </row>
    <row r="5670" spans="1:17" ht="14.5" hidden="1" customHeight="1" x14ac:dyDescent="0.35">
      <c r="A5670" s="9" t="s">
        <v>70</v>
      </c>
      <c r="B5670" s="9" t="s">
        <v>429</v>
      </c>
      <c r="C5670" s="9" t="s">
        <v>968</v>
      </c>
      <c r="D5670" s="9"/>
      <c r="E5670" s="10">
        <v>44746</v>
      </c>
      <c r="F5670" s="100">
        <f>SUM(J5670:L5670)</f>
        <v>324</v>
      </c>
      <c r="G5670" s="100">
        <f>SUM(Table3[[#This Row],[Kim Dệt Ngày]:[Kim Khác Đêm]])</f>
        <v>0</v>
      </c>
      <c r="H5670" s="10">
        <v>44755</v>
      </c>
      <c r="I5670" s="10">
        <v>44756</v>
      </c>
      <c r="J5670" s="9">
        <f>84</f>
        <v>84</v>
      </c>
      <c r="K5670" s="9"/>
      <c r="L5670" s="9">
        <f>108+132</f>
        <v>240</v>
      </c>
      <c r="M5670" s="11"/>
      <c r="N5670" s="11"/>
      <c r="O5670" s="9"/>
      <c r="P5670" s="9"/>
      <c r="Q5670" s="9"/>
    </row>
    <row r="5671" spans="1:17" ht="14.5" hidden="1" customHeight="1" x14ac:dyDescent="0.35">
      <c r="A5671" s="9" t="s">
        <v>70</v>
      </c>
      <c r="B5671" s="9" t="s">
        <v>429</v>
      </c>
      <c r="C5671" s="9" t="s">
        <v>1394</v>
      </c>
      <c r="D5671" s="9"/>
      <c r="E5671" s="10">
        <v>44746</v>
      </c>
      <c r="F5671" s="100">
        <f>SUM(J5671:L5671)</f>
        <v>300</v>
      </c>
      <c r="G5671" s="100">
        <f>SUM(Table3[[#This Row],[Kim Dệt Ngày]:[Kim Khác Đêm]])</f>
        <v>0</v>
      </c>
      <c r="H5671" s="10">
        <v>44757</v>
      </c>
      <c r="I5671" s="10">
        <v>44759</v>
      </c>
      <c r="J5671" s="9">
        <f>96+72</f>
        <v>168</v>
      </c>
      <c r="K5671" s="9"/>
      <c r="L5671" s="9">
        <f>132</f>
        <v>132</v>
      </c>
      <c r="M5671" s="11"/>
      <c r="N5671" s="11"/>
      <c r="O5671" s="9"/>
      <c r="P5671" s="9"/>
      <c r="Q5671" s="9"/>
    </row>
    <row r="5672" spans="1:17" ht="14.5" hidden="1" customHeight="1" x14ac:dyDescent="0.35">
      <c r="A5672" s="9" t="s">
        <v>68</v>
      </c>
      <c r="B5672" s="9" t="s">
        <v>429</v>
      </c>
      <c r="C5672" s="9" t="s">
        <v>131</v>
      </c>
      <c r="D5672" s="9"/>
      <c r="E5672" s="10">
        <v>44761</v>
      </c>
      <c r="F5672" s="100">
        <f>SUM(J5672:L5672)</f>
        <v>300</v>
      </c>
      <c r="G5672" s="100">
        <f>SUM(Table3[[#This Row],[Kim Dệt Ngày]:[Kim Khác Đêm]])</f>
        <v>0</v>
      </c>
      <c r="H5672" s="10">
        <v>44762</v>
      </c>
      <c r="I5672" s="10">
        <v>44763</v>
      </c>
      <c r="J5672" s="9">
        <f>36+72</f>
        <v>108</v>
      </c>
      <c r="K5672" s="9">
        <f>60</f>
        <v>60</v>
      </c>
      <c r="L5672" s="9">
        <f>132</f>
        <v>132</v>
      </c>
      <c r="M5672" s="11"/>
      <c r="N5672" s="11"/>
      <c r="O5672" s="9"/>
      <c r="P5672" s="9"/>
      <c r="Q5672" s="9"/>
    </row>
    <row r="5673" spans="1:17" ht="14.5" hidden="1" customHeight="1" x14ac:dyDescent="0.35">
      <c r="A5673" s="9" t="s">
        <v>70</v>
      </c>
      <c r="B5673" s="9" t="s">
        <v>429</v>
      </c>
      <c r="C5673" s="9" t="s">
        <v>18</v>
      </c>
      <c r="D5673" s="9"/>
      <c r="E5673" s="10">
        <v>44761</v>
      </c>
      <c r="F5673" s="100">
        <f>SUM(J5673:L5673)</f>
        <v>516</v>
      </c>
      <c r="G5673" s="100">
        <f>SUM(Table3[[#This Row],[Kim Dệt Ngày]:[Kim Khác Đêm]])</f>
        <v>0</v>
      </c>
      <c r="H5673" s="10">
        <v>44761</v>
      </c>
      <c r="I5673" s="10">
        <v>44763</v>
      </c>
      <c r="J5673" s="9">
        <f>84+96</f>
        <v>180</v>
      </c>
      <c r="K5673" s="9">
        <f>12+48+12</f>
        <v>72</v>
      </c>
      <c r="L5673" s="9">
        <f>120+132+12</f>
        <v>264</v>
      </c>
      <c r="M5673" s="11"/>
      <c r="N5673" s="11"/>
      <c r="O5673" s="9"/>
      <c r="P5673" s="9"/>
      <c r="Q5673" s="9"/>
    </row>
    <row r="5674" spans="1:17" x14ac:dyDescent="0.35">
      <c r="A5674" s="9" t="s">
        <v>42</v>
      </c>
      <c r="B5674" s="151" t="s">
        <v>2791</v>
      </c>
      <c r="C5674" s="9" t="s">
        <v>18</v>
      </c>
      <c r="D5674" s="9"/>
      <c r="E5674" s="10">
        <v>44758</v>
      </c>
      <c r="F5674" s="100">
        <f>SUM(J5674:L5674)</f>
        <v>240</v>
      </c>
      <c r="G5674" s="100">
        <f>SUM(Table3[[#This Row],[Kim Dệt Ngày]:[Kim Khác Đêm]])</f>
        <v>0</v>
      </c>
      <c r="H5674" s="10">
        <v>44760</v>
      </c>
      <c r="I5674" s="10"/>
      <c r="J5674" s="9">
        <f>24+48+60+48</f>
        <v>180</v>
      </c>
      <c r="K5674" s="9">
        <f>24+24+12</f>
        <v>60</v>
      </c>
      <c r="L5674" s="9"/>
      <c r="M5674" s="11"/>
      <c r="N5674" s="11"/>
      <c r="O5674" s="9"/>
      <c r="P5674" s="9"/>
      <c r="Q5674" s="9"/>
    </row>
    <row r="5675" spans="1:17" ht="14.5" hidden="1" customHeight="1" x14ac:dyDescent="0.35">
      <c r="A5675" s="9" t="s">
        <v>74</v>
      </c>
      <c r="B5675" s="9" t="s">
        <v>1413</v>
      </c>
      <c r="C5675" s="9" t="s">
        <v>18</v>
      </c>
      <c r="D5675" s="9"/>
      <c r="E5675" s="10">
        <v>44649</v>
      </c>
      <c r="F5675" s="100">
        <f>SUM(J5675:L5675)</f>
        <v>516</v>
      </c>
      <c r="G5675" s="100">
        <f>SUM(Table3[[#This Row],[Kim Dệt Ngày]:[Kim Khác Đêm]])</f>
        <v>0</v>
      </c>
      <c r="H5675" s="10">
        <v>44744</v>
      </c>
      <c r="I5675" s="10">
        <v>44749</v>
      </c>
      <c r="J5675" s="9">
        <f>36+48+48+36+48</f>
        <v>216</v>
      </c>
      <c r="K5675" s="9"/>
      <c r="L5675" s="9">
        <f>48+36+60+48+108</f>
        <v>300</v>
      </c>
      <c r="M5675" s="11"/>
      <c r="N5675" s="11"/>
      <c r="O5675" s="9"/>
      <c r="P5675" s="9"/>
      <c r="Q5675" s="9"/>
    </row>
    <row r="5676" spans="1:17" ht="14.5" hidden="1" customHeight="1" x14ac:dyDescent="0.35">
      <c r="A5676" s="9" t="s">
        <v>74</v>
      </c>
      <c r="B5676" s="9" t="s">
        <v>1413</v>
      </c>
      <c r="C5676" s="9" t="s">
        <v>28</v>
      </c>
      <c r="D5676" s="9"/>
      <c r="E5676" s="10">
        <v>44649</v>
      </c>
      <c r="F5676" s="100">
        <f>SUM(J5676:L5676)</f>
        <v>84</v>
      </c>
      <c r="G5676" s="100">
        <f>SUM(Table3[[#This Row],[Kim Dệt Ngày]:[Kim Khác Đêm]])</f>
        <v>0</v>
      </c>
      <c r="H5676" s="10">
        <v>44753</v>
      </c>
      <c r="I5676" s="10">
        <v>44753</v>
      </c>
      <c r="J5676" s="9">
        <f>36</f>
        <v>36</v>
      </c>
      <c r="K5676" s="9"/>
      <c r="L5676" s="9">
        <f>48</f>
        <v>48</v>
      </c>
      <c r="M5676" s="11"/>
      <c r="N5676" s="11"/>
      <c r="O5676" s="9"/>
      <c r="P5676" s="9"/>
      <c r="Q5676" s="9"/>
    </row>
    <row r="5677" spans="1:17" ht="14.5" hidden="1" customHeight="1" x14ac:dyDescent="0.35">
      <c r="A5677" s="9" t="s">
        <v>74</v>
      </c>
      <c r="B5677" s="9" t="s">
        <v>1413</v>
      </c>
      <c r="C5677" s="9" t="s">
        <v>25</v>
      </c>
      <c r="D5677" s="9"/>
      <c r="E5677" s="10">
        <v>44649</v>
      </c>
      <c r="F5677" s="100">
        <f>SUM(J5677:L5677)</f>
        <v>312</v>
      </c>
      <c r="G5677" s="100">
        <f>SUM(Table3[[#This Row],[Kim Dệt Ngày]:[Kim Khác Đêm]])</f>
        <v>0</v>
      </c>
      <c r="H5677" s="10">
        <v>44749</v>
      </c>
      <c r="I5677" s="10">
        <v>44753</v>
      </c>
      <c r="J5677" s="9">
        <f>48+36+12</f>
        <v>96</v>
      </c>
      <c r="K5677" s="9"/>
      <c r="L5677" s="9">
        <f>48+60+60+48</f>
        <v>216</v>
      </c>
      <c r="M5677" s="11"/>
      <c r="N5677" s="11"/>
      <c r="O5677" s="9"/>
      <c r="P5677" s="9"/>
      <c r="Q5677" s="9"/>
    </row>
    <row r="5678" spans="1:17" ht="14.5" hidden="1" customHeight="1" x14ac:dyDescent="0.35">
      <c r="A5678" s="9" t="s">
        <v>74</v>
      </c>
      <c r="B5678" s="9" t="s">
        <v>1413</v>
      </c>
      <c r="C5678" s="9" t="s">
        <v>28</v>
      </c>
      <c r="D5678" s="9"/>
      <c r="E5678" s="10">
        <v>44753</v>
      </c>
      <c r="F5678" s="100">
        <f>SUM(J5678:L5678)</f>
        <v>144</v>
      </c>
      <c r="G5678" s="100">
        <f>SUM(Table3[[#This Row],[Kim Dệt Ngày]:[Kim Khác Đêm]])</f>
        <v>0</v>
      </c>
      <c r="H5678" s="10">
        <v>44754</v>
      </c>
      <c r="I5678" s="10">
        <v>44755</v>
      </c>
      <c r="J5678" s="9">
        <f>60</f>
        <v>60</v>
      </c>
      <c r="K5678" s="9"/>
      <c r="L5678" s="9">
        <f>36+48</f>
        <v>84</v>
      </c>
      <c r="M5678" s="11"/>
      <c r="N5678" s="11"/>
      <c r="O5678" s="9"/>
      <c r="P5678" s="9"/>
      <c r="Q5678" s="9"/>
    </row>
    <row r="5679" spans="1:17" ht="14.5" hidden="1" customHeight="1" x14ac:dyDescent="0.35">
      <c r="A5679" s="9" t="s">
        <v>74</v>
      </c>
      <c r="B5679" s="9" t="s">
        <v>1413</v>
      </c>
      <c r="C5679" s="9" t="s">
        <v>39</v>
      </c>
      <c r="D5679" s="9"/>
      <c r="E5679" s="10">
        <v>44753</v>
      </c>
      <c r="F5679" s="100">
        <f>SUM(J5679:L5679)</f>
        <v>120</v>
      </c>
      <c r="G5679" s="100">
        <f>SUM(Table3[[#This Row],[Kim Dệt Ngày]:[Kim Khác Đêm]])</f>
        <v>0</v>
      </c>
      <c r="H5679" s="10">
        <v>44756</v>
      </c>
      <c r="I5679" s="10">
        <v>44757</v>
      </c>
      <c r="J5679" s="9">
        <f>48+12</f>
        <v>60</v>
      </c>
      <c r="K5679" s="9"/>
      <c r="L5679" s="9">
        <f>60</f>
        <v>60</v>
      </c>
      <c r="M5679" s="11"/>
      <c r="N5679" s="11"/>
      <c r="O5679" s="9"/>
      <c r="P5679" s="9"/>
      <c r="Q5679" s="9"/>
    </row>
    <row r="5680" spans="1:17" ht="14.5" hidden="1" customHeight="1" x14ac:dyDescent="0.35">
      <c r="A5680" s="9" t="s">
        <v>74</v>
      </c>
      <c r="B5680" s="150" t="s">
        <v>1413</v>
      </c>
      <c r="C5680" s="9" t="s">
        <v>25</v>
      </c>
      <c r="D5680" s="9"/>
      <c r="E5680" s="10">
        <v>44753</v>
      </c>
      <c r="F5680" s="100">
        <f>SUM(J5680:L5680)</f>
        <v>444</v>
      </c>
      <c r="G5680" s="100">
        <f>SUM(Table3[[#This Row],[Kim Dệt Ngày]:[Kim Khác Đêm]])</f>
        <v>0</v>
      </c>
      <c r="H5680" s="10">
        <v>44757</v>
      </c>
      <c r="I5680" s="10">
        <v>44761</v>
      </c>
      <c r="J5680" s="9">
        <f>36+36+48+48</f>
        <v>168</v>
      </c>
      <c r="K5680" s="9"/>
      <c r="L5680" s="9">
        <f>48+60+60+48+60</f>
        <v>276</v>
      </c>
      <c r="M5680" s="11"/>
      <c r="N5680" s="11"/>
      <c r="O5680" s="9"/>
      <c r="P5680" s="9"/>
      <c r="Q5680" s="9"/>
    </row>
    <row r="5681" spans="1:17" x14ac:dyDescent="0.35">
      <c r="A5681" s="9" t="s">
        <v>43</v>
      </c>
      <c r="B5681" s="9" t="s">
        <v>582</v>
      </c>
      <c r="C5681" s="9" t="s">
        <v>28</v>
      </c>
      <c r="D5681" s="9"/>
      <c r="E5681" s="10">
        <v>44753</v>
      </c>
      <c r="F5681" s="100">
        <f>SUM(J5681:L5681)</f>
        <v>1068</v>
      </c>
      <c r="G5681" s="100">
        <f>SUM(Table3[[#This Row],[Kim Dệt Ngày]:[Kim Khác Đêm]])</f>
        <v>0</v>
      </c>
      <c r="H5681" s="10">
        <v>44754</v>
      </c>
      <c r="I5681" s="10"/>
      <c r="J5681" s="9">
        <f>84+72+96+84+60+72+84+72+84</f>
        <v>708</v>
      </c>
      <c r="K5681" s="9">
        <f>48+36+24</f>
        <v>108</v>
      </c>
      <c r="L5681" s="9">
        <f>60+108+84</f>
        <v>252</v>
      </c>
      <c r="M5681" s="11"/>
      <c r="N5681" s="11"/>
      <c r="O5681" s="9"/>
      <c r="P5681" s="9"/>
      <c r="Q5681" s="9"/>
    </row>
    <row r="5682" spans="1:17" ht="14.5" hidden="1" customHeight="1" x14ac:dyDescent="0.35">
      <c r="A5682" s="9" t="s">
        <v>21</v>
      </c>
      <c r="B5682" s="9" t="s">
        <v>1421</v>
      </c>
      <c r="C5682" s="9" t="s">
        <v>39</v>
      </c>
      <c r="D5682" s="9"/>
      <c r="E5682" s="10">
        <v>44742</v>
      </c>
      <c r="F5682" s="100">
        <f>SUM(J5682:L5682)</f>
        <v>432</v>
      </c>
      <c r="G5682" s="100">
        <f>SUM(Table3[[#This Row],[Kim Dệt Ngày]:[Kim Khác Đêm]])</f>
        <v>0</v>
      </c>
      <c r="H5682" s="10">
        <v>44743</v>
      </c>
      <c r="I5682" s="10">
        <v>44750</v>
      </c>
      <c r="J5682" s="9">
        <f>60+48+60+36+48+72</f>
        <v>324</v>
      </c>
      <c r="K5682" s="9"/>
      <c r="L5682" s="9">
        <f>48+60</f>
        <v>108</v>
      </c>
      <c r="M5682" s="11"/>
      <c r="N5682" s="11"/>
      <c r="O5682" s="9"/>
      <c r="P5682" s="9"/>
      <c r="Q5682" s="9"/>
    </row>
    <row r="5683" spans="1:17" ht="14.5" hidden="1" customHeight="1" x14ac:dyDescent="0.35">
      <c r="A5683" s="9" t="s">
        <v>23</v>
      </c>
      <c r="B5683" s="9" t="s">
        <v>1421</v>
      </c>
      <c r="C5683" s="9" t="s">
        <v>28</v>
      </c>
      <c r="D5683" s="9"/>
      <c r="E5683" s="10">
        <v>44742</v>
      </c>
      <c r="F5683" s="100">
        <f>SUM(J5683:L5683)</f>
        <v>468</v>
      </c>
      <c r="G5683" s="100">
        <f>SUM(Table3[[#This Row],[Kim Dệt Ngày]:[Kim Khác Đêm]])</f>
        <v>0</v>
      </c>
      <c r="H5683" s="10">
        <v>44743</v>
      </c>
      <c r="I5683" s="10">
        <v>44750</v>
      </c>
      <c r="J5683" s="9">
        <f>12+12+60+84+60+84+12</f>
        <v>324</v>
      </c>
      <c r="K5683" s="9"/>
      <c r="L5683" s="9">
        <f>84+60</f>
        <v>144</v>
      </c>
      <c r="M5683" s="11"/>
      <c r="N5683" s="11"/>
      <c r="O5683" s="9"/>
      <c r="P5683" s="9"/>
      <c r="Q5683" s="9"/>
    </row>
    <row r="5684" spans="1:17" ht="14.5" hidden="1" customHeight="1" x14ac:dyDescent="0.35">
      <c r="A5684" s="9" t="s">
        <v>21</v>
      </c>
      <c r="B5684" s="150" t="s">
        <v>1421</v>
      </c>
      <c r="C5684" s="9" t="s">
        <v>25</v>
      </c>
      <c r="D5684" s="9"/>
      <c r="E5684" s="10">
        <v>44742</v>
      </c>
      <c r="F5684" s="100">
        <f>SUM(J5684:L5684)</f>
        <v>180</v>
      </c>
      <c r="G5684" s="100">
        <f>SUM(Table3[[#This Row],[Kim Dệt Ngày]:[Kim Khác Đêm]])</f>
        <v>0</v>
      </c>
      <c r="H5684" s="10">
        <v>44750</v>
      </c>
      <c r="I5684" s="10">
        <v>44755</v>
      </c>
      <c r="J5684" s="9">
        <f>48+60+36+36</f>
        <v>180</v>
      </c>
      <c r="K5684" s="9"/>
      <c r="L5684" s="9"/>
      <c r="M5684" s="11"/>
      <c r="N5684" s="11"/>
      <c r="O5684" s="9"/>
      <c r="P5684" s="9"/>
      <c r="Q5684" s="9"/>
    </row>
    <row r="5685" spans="1:17" ht="14.5" hidden="1" customHeight="1" x14ac:dyDescent="0.35">
      <c r="A5685" s="9" t="s">
        <v>23</v>
      </c>
      <c r="B5685" s="9" t="s">
        <v>1421</v>
      </c>
      <c r="C5685" s="9" t="s">
        <v>18</v>
      </c>
      <c r="D5685" s="9"/>
      <c r="E5685" s="10">
        <v>44742</v>
      </c>
      <c r="F5685" s="100">
        <f>SUM(J5685:L5685)</f>
        <v>576</v>
      </c>
      <c r="G5685" s="100">
        <f>SUM(Table3[[#This Row],[Kim Dệt Ngày]:[Kim Khác Đêm]])</f>
        <v>0</v>
      </c>
      <c r="H5685" s="10">
        <v>44750</v>
      </c>
      <c r="I5685" s="10">
        <v>44755</v>
      </c>
      <c r="J5685" s="9">
        <f>48+60+72+72+60</f>
        <v>312</v>
      </c>
      <c r="K5685" s="9"/>
      <c r="L5685" s="9">
        <f>84+84+84+12</f>
        <v>264</v>
      </c>
      <c r="M5685" s="11"/>
      <c r="N5685" s="11"/>
      <c r="O5685" s="9"/>
      <c r="P5685" s="9"/>
      <c r="Q5685" s="9"/>
    </row>
    <row r="5686" spans="1:17" ht="14.5" hidden="1" customHeight="1" x14ac:dyDescent="0.35">
      <c r="A5686" s="9" t="s">
        <v>23</v>
      </c>
      <c r="B5686" s="9" t="s">
        <v>1421</v>
      </c>
      <c r="C5686" s="9" t="s">
        <v>25</v>
      </c>
      <c r="D5686" s="9"/>
      <c r="E5686" s="10">
        <v>44742</v>
      </c>
      <c r="F5686" s="100">
        <f>SUM(J5686:L5686)</f>
        <v>492</v>
      </c>
      <c r="G5686" s="100">
        <f>SUM(Table3[[#This Row],[Kim Dệt Ngày]:[Kim Khác Đêm]])</f>
        <v>0</v>
      </c>
      <c r="H5686" s="10">
        <v>44755</v>
      </c>
      <c r="I5686" s="10">
        <v>44758</v>
      </c>
      <c r="J5686" s="9">
        <f>84+84+72</f>
        <v>240</v>
      </c>
      <c r="K5686" s="9"/>
      <c r="L5686" s="9">
        <f>72+84+96</f>
        <v>252</v>
      </c>
      <c r="M5686" s="11"/>
      <c r="N5686" s="11"/>
      <c r="O5686" s="9"/>
      <c r="P5686" s="9"/>
      <c r="Q5686" s="9"/>
    </row>
    <row r="5687" spans="1:17" ht="14.5" hidden="1" customHeight="1" x14ac:dyDescent="0.35">
      <c r="A5687" s="9" t="s">
        <v>23</v>
      </c>
      <c r="B5687" s="9" t="s">
        <v>1421</v>
      </c>
      <c r="C5687" s="9" t="s">
        <v>39</v>
      </c>
      <c r="D5687" s="9"/>
      <c r="E5687" s="10">
        <v>44742</v>
      </c>
      <c r="F5687" s="100">
        <f>SUM(J5687:L5687)</f>
        <v>372</v>
      </c>
      <c r="G5687" s="100">
        <f>SUM(Table3[[#This Row],[Kim Dệt Ngày]:[Kim Khác Đêm]])</f>
        <v>0</v>
      </c>
      <c r="H5687" s="10">
        <v>44758</v>
      </c>
      <c r="I5687" s="10">
        <v>44763</v>
      </c>
      <c r="J5687" s="9">
        <f>84+60+60+12</f>
        <v>216</v>
      </c>
      <c r="K5687" s="9">
        <f>36+48</f>
        <v>84</v>
      </c>
      <c r="L5687" s="9">
        <f>72</f>
        <v>72</v>
      </c>
      <c r="M5687" s="11"/>
      <c r="N5687" s="11"/>
      <c r="O5687" s="9"/>
      <c r="P5687" s="9"/>
      <c r="Q5687" s="9"/>
    </row>
    <row r="5688" spans="1:17" x14ac:dyDescent="0.35">
      <c r="A5688" s="9" t="s">
        <v>44</v>
      </c>
      <c r="B5688" s="9" t="s">
        <v>2080</v>
      </c>
      <c r="C5688" s="9" t="s">
        <v>39</v>
      </c>
      <c r="D5688" s="9"/>
      <c r="E5688" s="10">
        <v>44760</v>
      </c>
      <c r="F5688" s="100">
        <f>SUM(J5688:L5688)</f>
        <v>264</v>
      </c>
      <c r="G5688" s="100">
        <f>SUM(Table3[[#This Row],[Kim Dệt Ngày]:[Kim Khác Đêm]])</f>
        <v>0</v>
      </c>
      <c r="H5688" s="10">
        <v>44761</v>
      </c>
      <c r="I5688" s="10"/>
      <c r="J5688" s="9">
        <f>72+48+60</f>
        <v>180</v>
      </c>
      <c r="K5688" s="9">
        <f>36+36+12</f>
        <v>84</v>
      </c>
      <c r="L5688" s="9"/>
      <c r="M5688" s="11"/>
      <c r="N5688" s="11"/>
      <c r="O5688" s="9"/>
      <c r="P5688" s="9"/>
      <c r="Q5688" s="9"/>
    </row>
    <row r="5689" spans="1:17" ht="14.5" hidden="1" customHeight="1" x14ac:dyDescent="0.35">
      <c r="A5689" s="9" t="s">
        <v>101</v>
      </c>
      <c r="B5689" s="9" t="s">
        <v>2258</v>
      </c>
      <c r="C5689" s="9" t="s">
        <v>39</v>
      </c>
      <c r="D5689" s="9"/>
      <c r="E5689" s="10">
        <v>44738</v>
      </c>
      <c r="F5689" s="100">
        <f>SUM(J5689:L5689)</f>
        <v>468</v>
      </c>
      <c r="G5689" s="100">
        <f>SUM(Table3[[#This Row],[Kim Dệt Ngày]:[Kim Khác Đêm]])</f>
        <v>0</v>
      </c>
      <c r="H5689" s="10">
        <v>44751</v>
      </c>
      <c r="I5689" s="10">
        <v>44757</v>
      </c>
      <c r="J5689" s="9">
        <f>36+36+36+36</f>
        <v>144</v>
      </c>
      <c r="K5689" s="9"/>
      <c r="L5689" s="9">
        <f>36+48+48+48+48+36+60</f>
        <v>324</v>
      </c>
      <c r="M5689" s="11"/>
      <c r="N5689" s="11"/>
      <c r="O5689" s="9"/>
      <c r="P5689" s="9"/>
      <c r="Q5689" s="9"/>
    </row>
    <row r="5690" spans="1:17" ht="14.5" hidden="1" customHeight="1" x14ac:dyDescent="0.35">
      <c r="A5690" s="9" t="s">
        <v>102</v>
      </c>
      <c r="B5690" s="9" t="s">
        <v>2258</v>
      </c>
      <c r="C5690" s="9" t="s">
        <v>39</v>
      </c>
      <c r="D5690" s="9"/>
      <c r="E5690" s="10">
        <v>44738</v>
      </c>
      <c r="F5690" s="100">
        <f>SUM(J5690:L5690)</f>
        <v>1164</v>
      </c>
      <c r="G5690" s="100">
        <f>SUM(Table3[[#This Row],[Kim Dệt Ngày]:[Kim Khác Đêm]])</f>
        <v>0</v>
      </c>
      <c r="H5690" s="10">
        <v>44743</v>
      </c>
      <c r="I5690" s="10">
        <v>44757</v>
      </c>
      <c r="J5690" s="9">
        <f>36+36+36+36+24+36+48+36+36+36+48+48</f>
        <v>456</v>
      </c>
      <c r="K5690" s="9"/>
      <c r="L5690" s="9">
        <f>48+60+48+48+48+48+48+48+48+36+48+36+36+48+60</f>
        <v>708</v>
      </c>
      <c r="M5690" s="11"/>
      <c r="N5690" s="11"/>
      <c r="O5690" s="9"/>
      <c r="P5690" s="9"/>
      <c r="Q5690" s="9"/>
    </row>
    <row r="5691" spans="1:17" ht="14.5" hidden="1" customHeight="1" x14ac:dyDescent="0.35">
      <c r="A5691" s="9" t="s">
        <v>105</v>
      </c>
      <c r="B5691" s="9" t="s">
        <v>2258</v>
      </c>
      <c r="C5691" s="9" t="s">
        <v>39</v>
      </c>
      <c r="D5691" s="9"/>
      <c r="E5691" s="10">
        <v>44738</v>
      </c>
      <c r="F5691" s="100">
        <f>SUM(J5691:L5691)</f>
        <v>1152</v>
      </c>
      <c r="G5691" s="100">
        <f>SUM(Table3[[#This Row],[Kim Dệt Ngày]:[Kim Khác Đêm]])</f>
        <v>0</v>
      </c>
      <c r="H5691" s="10">
        <v>44743</v>
      </c>
      <c r="I5691" s="10">
        <v>44757</v>
      </c>
      <c r="J5691" s="9">
        <f>36+36+36+36+24+48+36+48+48+36+36+36</f>
        <v>456</v>
      </c>
      <c r="K5691" s="9"/>
      <c r="L5691" s="9">
        <f>36+36+48+60+48+48+48+48+48+48+48+36+48+48+48</f>
        <v>696</v>
      </c>
      <c r="M5691" s="11"/>
      <c r="N5691" s="11"/>
      <c r="O5691" s="9"/>
      <c r="P5691" s="9"/>
      <c r="Q5691" s="9"/>
    </row>
    <row r="5692" spans="1:17" x14ac:dyDescent="0.35">
      <c r="A5692" s="9" t="s">
        <v>45</v>
      </c>
      <c r="B5692" s="9" t="s">
        <v>2080</v>
      </c>
      <c r="C5692" s="9" t="s">
        <v>28</v>
      </c>
      <c r="D5692" s="9"/>
      <c r="E5692" s="10">
        <v>44755</v>
      </c>
      <c r="F5692" s="100">
        <f>SUM(J5692:L5692)</f>
        <v>624</v>
      </c>
      <c r="G5692" s="100">
        <f>SUM(Table3[[#This Row],[Kim Dệt Ngày]:[Kim Khác Đêm]])</f>
        <v>0</v>
      </c>
      <c r="H5692" s="10">
        <v>44756</v>
      </c>
      <c r="I5692" s="10"/>
      <c r="J5692" s="9">
        <f>60+60+60+72+60+48</f>
        <v>360</v>
      </c>
      <c r="K5692" s="9">
        <f>36+24+12</f>
        <v>72</v>
      </c>
      <c r="L5692" s="9">
        <f>60+72+60</f>
        <v>192</v>
      </c>
      <c r="M5692" s="11"/>
      <c r="N5692" s="11"/>
      <c r="O5692" s="9"/>
      <c r="P5692" s="9"/>
      <c r="Q5692" s="9"/>
    </row>
    <row r="5693" spans="1:17" x14ac:dyDescent="0.35">
      <c r="A5693" s="9" t="s">
        <v>46</v>
      </c>
      <c r="B5693" s="9" t="s">
        <v>772</v>
      </c>
      <c r="C5693" s="9" t="s">
        <v>28</v>
      </c>
      <c r="D5693" s="9"/>
      <c r="E5693" s="10">
        <v>44753</v>
      </c>
      <c r="F5693" s="100">
        <f>SUM(J5693:L5693)</f>
        <v>1116</v>
      </c>
      <c r="G5693" s="100">
        <f>SUM(Table3[[#This Row],[Kim Dệt Ngày]:[Kim Khác Đêm]])</f>
        <v>0</v>
      </c>
      <c r="H5693" s="10">
        <v>44754</v>
      </c>
      <c r="I5693" s="10"/>
      <c r="J5693" s="9">
        <f>72+84+72+84+60+60+72+48+60</f>
        <v>612</v>
      </c>
      <c r="K5693" s="9">
        <f>24+48+12</f>
        <v>84</v>
      </c>
      <c r="L5693" s="9">
        <f>72+84+84+84+96</f>
        <v>420</v>
      </c>
      <c r="M5693" s="11"/>
      <c r="N5693" s="11"/>
      <c r="O5693" s="9"/>
      <c r="P5693" s="9"/>
      <c r="Q5693" s="9"/>
    </row>
    <row r="5694" spans="1:17" ht="14.5" hidden="1" customHeight="1" x14ac:dyDescent="0.35">
      <c r="A5694" s="9" t="s">
        <v>61</v>
      </c>
      <c r="B5694" s="9" t="s">
        <v>2297</v>
      </c>
      <c r="C5694" s="9" t="s">
        <v>135</v>
      </c>
      <c r="D5694" s="9"/>
      <c r="E5694" s="10">
        <v>44736</v>
      </c>
      <c r="F5694" s="100">
        <f>SUM(J5694:L5694)</f>
        <v>12</v>
      </c>
      <c r="G5694" s="100">
        <f>SUM(Table3[[#This Row],[Kim Dệt Ngày]:[Kim Khác Đêm]])</f>
        <v>0</v>
      </c>
      <c r="H5694" s="10">
        <v>44743</v>
      </c>
      <c r="I5694" s="10">
        <v>44750</v>
      </c>
      <c r="J5694" s="9">
        <f>12</f>
        <v>12</v>
      </c>
      <c r="K5694" s="9"/>
      <c r="L5694" s="9"/>
      <c r="M5694" s="11"/>
      <c r="N5694" s="11"/>
      <c r="O5694" s="9"/>
      <c r="P5694" s="9"/>
      <c r="Q5694" s="9"/>
    </row>
    <row r="5695" spans="1:17" ht="14.5" hidden="1" customHeight="1" x14ac:dyDescent="0.35">
      <c r="A5695" s="9" t="s">
        <v>66</v>
      </c>
      <c r="B5695" s="9" t="s">
        <v>2297</v>
      </c>
      <c r="C5695" s="9" t="s">
        <v>79</v>
      </c>
      <c r="D5695" s="9"/>
      <c r="E5695" s="10">
        <v>44736</v>
      </c>
      <c r="F5695" s="100">
        <f>SUM(J5695:L5695)</f>
        <v>360</v>
      </c>
      <c r="G5695" s="100">
        <f>SUM(Table3[[#This Row],[Kim Dệt Ngày]:[Kim Khác Đêm]])</f>
        <v>0</v>
      </c>
      <c r="H5695" s="10">
        <v>44743</v>
      </c>
      <c r="I5695" s="10">
        <v>44755</v>
      </c>
      <c r="J5695" s="9">
        <f>36+36+24+36+36+36+24+36+24+36</f>
        <v>324</v>
      </c>
      <c r="K5695" s="9"/>
      <c r="L5695" s="9">
        <f>36</f>
        <v>36</v>
      </c>
      <c r="M5695" s="11"/>
      <c r="N5695" s="11"/>
      <c r="O5695" s="9"/>
      <c r="P5695" s="9"/>
      <c r="Q5695" s="9"/>
    </row>
    <row r="5696" spans="1:17" ht="14.5" hidden="1" customHeight="1" x14ac:dyDescent="0.35">
      <c r="A5696" s="9" t="s">
        <v>66</v>
      </c>
      <c r="B5696" s="9" t="s">
        <v>2297</v>
      </c>
      <c r="C5696" s="9" t="s">
        <v>79</v>
      </c>
      <c r="D5696" s="9"/>
      <c r="E5696" s="10">
        <v>44755</v>
      </c>
      <c r="F5696" s="100">
        <f>SUM(J5696:L5696)</f>
        <v>264</v>
      </c>
      <c r="G5696" s="100">
        <f>SUM(Table3[[#This Row],[Kim Dệt Ngày]:[Kim Khác Đêm]])</f>
        <v>0</v>
      </c>
      <c r="H5696" s="10">
        <v>44756</v>
      </c>
      <c r="I5696" s="10">
        <v>44762</v>
      </c>
      <c r="J5696" s="9">
        <f>36+48+24+36+12</f>
        <v>156</v>
      </c>
      <c r="K5696" s="9">
        <f>24</f>
        <v>24</v>
      </c>
      <c r="L5696" s="9">
        <f>48+36</f>
        <v>84</v>
      </c>
      <c r="M5696" s="11"/>
      <c r="N5696" s="11"/>
      <c r="O5696" s="9"/>
      <c r="P5696" s="9"/>
      <c r="Q5696" s="9"/>
    </row>
    <row r="5697" spans="1:17" ht="14.5" hidden="1" customHeight="1" x14ac:dyDescent="0.35">
      <c r="A5697" s="9" t="s">
        <v>61</v>
      </c>
      <c r="B5697" s="9" t="s">
        <v>2764</v>
      </c>
      <c r="C5697" s="9" t="s">
        <v>930</v>
      </c>
      <c r="D5697" s="9"/>
      <c r="E5697" s="10">
        <v>44736</v>
      </c>
      <c r="F5697" s="100">
        <f>SUM(J5697:L5697)</f>
        <v>300</v>
      </c>
      <c r="G5697" s="100">
        <f>SUM(Table3[[#This Row],[Kim Dệt Ngày]:[Kim Khác Đêm]])</f>
        <v>0</v>
      </c>
      <c r="H5697" s="10">
        <v>44750</v>
      </c>
      <c r="I5697" s="10">
        <v>44757</v>
      </c>
      <c r="J5697" s="9">
        <f>12+24+12+12+24+36</f>
        <v>120</v>
      </c>
      <c r="K5697" s="9"/>
      <c r="L5697" s="9">
        <f>48+36+48+24+24</f>
        <v>180</v>
      </c>
      <c r="M5697" s="11"/>
      <c r="N5697" s="11"/>
      <c r="O5697" s="9"/>
      <c r="P5697" s="9"/>
      <c r="Q5697" s="9"/>
    </row>
    <row r="5698" spans="1:17" ht="14.5" hidden="1" customHeight="1" x14ac:dyDescent="0.35">
      <c r="A5698" s="9" t="s">
        <v>61</v>
      </c>
      <c r="B5698" s="9" t="s">
        <v>2764</v>
      </c>
      <c r="C5698" s="9" t="s">
        <v>18</v>
      </c>
      <c r="D5698" s="9"/>
      <c r="E5698" s="10">
        <v>44736</v>
      </c>
      <c r="F5698" s="100">
        <f>SUM(J5698:L5698)</f>
        <v>96</v>
      </c>
      <c r="G5698" s="100">
        <f>SUM(Table3[[#This Row],[Kim Dệt Ngày]:[Kim Khác Đêm]])</f>
        <v>0</v>
      </c>
      <c r="H5698" s="10">
        <v>44757</v>
      </c>
      <c r="I5698" s="10">
        <v>44760</v>
      </c>
      <c r="J5698" s="9">
        <f>36+12</f>
        <v>48</v>
      </c>
      <c r="K5698" s="9"/>
      <c r="L5698" s="9">
        <f>12+36</f>
        <v>48</v>
      </c>
      <c r="M5698" s="11"/>
      <c r="N5698" s="11"/>
      <c r="O5698" s="9"/>
      <c r="P5698" s="9"/>
      <c r="Q5698" s="9"/>
    </row>
    <row r="5699" spans="1:17" ht="14.5" hidden="1" customHeight="1" x14ac:dyDescent="0.35">
      <c r="A5699" s="9" t="s">
        <v>61</v>
      </c>
      <c r="B5699" s="9" t="s">
        <v>2764</v>
      </c>
      <c r="C5699" s="9" t="s">
        <v>135</v>
      </c>
      <c r="D5699" s="9"/>
      <c r="E5699" s="10">
        <v>44736</v>
      </c>
      <c r="F5699" s="100">
        <f>SUM(J5699:L5699)</f>
        <v>96</v>
      </c>
      <c r="G5699" s="100">
        <f>SUM(Table3[[#This Row],[Kim Dệt Ngày]:[Kim Khác Đêm]])</f>
        <v>0</v>
      </c>
      <c r="H5699" s="10">
        <v>44760</v>
      </c>
      <c r="I5699" s="10">
        <v>44763</v>
      </c>
      <c r="J5699" s="9">
        <f>12+48</f>
        <v>60</v>
      </c>
      <c r="K5699" s="9">
        <f>24+12</f>
        <v>36</v>
      </c>
      <c r="L5699" s="9"/>
      <c r="M5699" s="11"/>
      <c r="N5699" s="11"/>
      <c r="O5699" s="9"/>
      <c r="P5699" s="9"/>
      <c r="Q5699" s="9"/>
    </row>
    <row r="5700" spans="1:17" ht="14.5" hidden="1" customHeight="1" x14ac:dyDescent="0.35">
      <c r="A5700" s="9" t="s">
        <v>70</v>
      </c>
      <c r="B5700" s="9" t="s">
        <v>1127</v>
      </c>
      <c r="C5700" s="9" t="s">
        <v>28</v>
      </c>
      <c r="D5700" s="9"/>
      <c r="E5700" s="10">
        <v>44754</v>
      </c>
      <c r="F5700" s="100">
        <f>SUM(J5700:L5700)</f>
        <v>60</v>
      </c>
      <c r="G5700" s="100">
        <f>SUM(Table3[[#This Row],[Kim Dệt Ngày]:[Kim Khác Đêm]])</f>
        <v>0</v>
      </c>
      <c r="H5700" s="10">
        <v>44760</v>
      </c>
      <c r="I5700" s="10">
        <v>44761</v>
      </c>
      <c r="J5700" s="9">
        <f>12</f>
        <v>12</v>
      </c>
      <c r="K5700" s="9"/>
      <c r="L5700" s="9">
        <f>48</f>
        <v>48</v>
      </c>
      <c r="M5700" s="11"/>
      <c r="N5700" s="11"/>
      <c r="O5700" s="9"/>
      <c r="P5700" s="9"/>
      <c r="Q5700" s="9"/>
    </row>
    <row r="5701" spans="1:17" ht="14.5" hidden="1" customHeight="1" x14ac:dyDescent="0.35">
      <c r="A5701" s="9" t="s">
        <v>70</v>
      </c>
      <c r="B5701" s="9" t="s">
        <v>1127</v>
      </c>
      <c r="C5701" s="9" t="s">
        <v>135</v>
      </c>
      <c r="D5701" s="9"/>
      <c r="E5701" s="10">
        <v>44754</v>
      </c>
      <c r="F5701" s="100">
        <f>SUM(J5701:L5701)</f>
        <v>132</v>
      </c>
      <c r="G5701" s="100">
        <f>SUM(Table3[[#This Row],[Kim Dệt Ngày]:[Kim Khác Đêm]])</f>
        <v>0</v>
      </c>
      <c r="H5701" s="10">
        <v>44759</v>
      </c>
      <c r="I5701" s="10">
        <v>44760</v>
      </c>
      <c r="J5701" s="9">
        <f>60</f>
        <v>60</v>
      </c>
      <c r="K5701" s="9"/>
      <c r="L5701" s="9">
        <f>48+24</f>
        <v>72</v>
      </c>
      <c r="M5701" s="11"/>
      <c r="N5701" s="11"/>
      <c r="O5701" s="9"/>
      <c r="P5701" s="9"/>
      <c r="Q5701" s="9"/>
    </row>
    <row r="5702" spans="1:17" ht="14.5" hidden="1" customHeight="1" x14ac:dyDescent="0.35">
      <c r="A5702" s="9" t="s">
        <v>70</v>
      </c>
      <c r="B5702" s="9" t="s">
        <v>1127</v>
      </c>
      <c r="C5702" s="9" t="s">
        <v>28</v>
      </c>
      <c r="D5702" s="9"/>
      <c r="E5702" s="10">
        <v>44754</v>
      </c>
      <c r="F5702" s="100">
        <f>SUM(J5702:L5702)</f>
        <v>72</v>
      </c>
      <c r="G5702" s="100">
        <f>SUM(Table3[[#This Row],[Kim Dệt Ngày]:[Kim Khác Đêm]])</f>
        <v>0</v>
      </c>
      <c r="H5702" s="10">
        <v>44759</v>
      </c>
      <c r="I5702" s="10">
        <v>44759</v>
      </c>
      <c r="J5702" s="9"/>
      <c r="K5702" s="9"/>
      <c r="L5702" s="9">
        <f>12+60</f>
        <v>72</v>
      </c>
      <c r="M5702" s="11"/>
      <c r="N5702" s="11"/>
      <c r="O5702" s="9"/>
      <c r="P5702" s="9"/>
      <c r="Q5702" s="9"/>
    </row>
    <row r="5703" spans="1:17" ht="14.5" hidden="1" customHeight="1" x14ac:dyDescent="0.35">
      <c r="A5703" s="9" t="s">
        <v>70</v>
      </c>
      <c r="B5703" s="9" t="s">
        <v>1166</v>
      </c>
      <c r="C5703" s="9" t="s">
        <v>25</v>
      </c>
      <c r="D5703" s="9"/>
      <c r="E5703" s="10">
        <v>44741</v>
      </c>
      <c r="F5703" s="100">
        <f>SUM(J5703:L5703)</f>
        <v>12</v>
      </c>
      <c r="G5703" s="100">
        <f>SUM(Table3[[#This Row],[Kim Dệt Ngày]:[Kim Khác Đêm]])</f>
        <v>0</v>
      </c>
      <c r="H5703" s="10">
        <v>44743</v>
      </c>
      <c r="I5703" s="10">
        <v>44743</v>
      </c>
      <c r="J5703" s="9">
        <f>12</f>
        <v>12</v>
      </c>
      <c r="K5703" s="9"/>
      <c r="L5703" s="9"/>
      <c r="M5703" s="11"/>
      <c r="N5703" s="11"/>
      <c r="O5703" s="9"/>
      <c r="P5703" s="9"/>
      <c r="Q5703" s="9"/>
    </row>
    <row r="5704" spans="1:17" ht="14.5" hidden="1" customHeight="1" x14ac:dyDescent="0.35">
      <c r="A5704" s="9" t="s">
        <v>68</v>
      </c>
      <c r="B5704" s="9" t="s">
        <v>1166</v>
      </c>
      <c r="C5704" s="9" t="s">
        <v>28</v>
      </c>
      <c r="D5704" s="9"/>
      <c r="E5704" s="10">
        <v>44741</v>
      </c>
      <c r="F5704" s="100">
        <f>SUM(J5704:L5704)</f>
        <v>804</v>
      </c>
      <c r="G5704" s="100">
        <f>SUM(Table3[[#This Row],[Kim Dệt Ngày]:[Kim Khác Đêm]])</f>
        <v>0</v>
      </c>
      <c r="H5704" s="10">
        <v>44743</v>
      </c>
      <c r="I5704" s="10">
        <v>44750</v>
      </c>
      <c r="J5704" s="9">
        <f>60+60+72+60+60+84+12</f>
        <v>408</v>
      </c>
      <c r="K5704" s="9"/>
      <c r="L5704" s="9">
        <f>96+108+72+120</f>
        <v>396</v>
      </c>
      <c r="M5704" s="11"/>
      <c r="N5704" s="11"/>
      <c r="O5704" s="9"/>
      <c r="P5704" s="9"/>
      <c r="Q5704" s="9"/>
    </row>
    <row r="5705" spans="1:17" ht="14.5" hidden="1" customHeight="1" x14ac:dyDescent="0.35">
      <c r="A5705" s="9" t="s">
        <v>68</v>
      </c>
      <c r="B5705" s="9" t="s">
        <v>1166</v>
      </c>
      <c r="C5705" s="9" t="s">
        <v>39</v>
      </c>
      <c r="D5705" s="9"/>
      <c r="E5705" s="10">
        <v>44741</v>
      </c>
      <c r="F5705" s="100">
        <f>SUM(J5705:L5705)</f>
        <v>108</v>
      </c>
      <c r="G5705" s="100">
        <f>SUM(Table3[[#This Row],[Kim Dệt Ngày]:[Kim Khác Đêm]])</f>
        <v>0</v>
      </c>
      <c r="H5705" s="10">
        <v>44750</v>
      </c>
      <c r="I5705" s="10">
        <v>44751</v>
      </c>
      <c r="J5705" s="9">
        <f>60+48</f>
        <v>108</v>
      </c>
      <c r="K5705" s="9"/>
      <c r="L5705" s="9"/>
      <c r="M5705" s="11"/>
      <c r="N5705" s="11"/>
      <c r="O5705" s="9"/>
      <c r="P5705" s="9"/>
      <c r="Q5705" s="9"/>
    </row>
    <row r="5706" spans="1:17" ht="14.5" hidden="1" customHeight="1" x14ac:dyDescent="0.35">
      <c r="A5706" s="9" t="s">
        <v>70</v>
      </c>
      <c r="B5706" s="9" t="s">
        <v>1166</v>
      </c>
      <c r="C5706" s="9" t="s">
        <v>18</v>
      </c>
      <c r="D5706" s="9"/>
      <c r="E5706" s="10">
        <v>44741</v>
      </c>
      <c r="F5706" s="100">
        <f>SUM(J5706:L5706)</f>
        <v>1152</v>
      </c>
      <c r="G5706" s="100">
        <f>SUM(Table3[[#This Row],[Kim Dệt Ngày]:[Kim Khác Đêm]])</f>
        <v>0</v>
      </c>
      <c r="H5706" s="10">
        <v>44743</v>
      </c>
      <c r="I5706" s="10">
        <v>44751</v>
      </c>
      <c r="J5706" s="9">
        <f>60+60+72+48+48+60+96</f>
        <v>444</v>
      </c>
      <c r="K5706" s="9"/>
      <c r="L5706" s="9">
        <f>108+108+96+96+108+84+108</f>
        <v>708</v>
      </c>
      <c r="M5706" s="11"/>
      <c r="N5706" s="11"/>
      <c r="O5706" s="9"/>
      <c r="P5706" s="9"/>
      <c r="Q5706" s="9"/>
    </row>
    <row r="5707" spans="1:17" ht="14.5" hidden="1" customHeight="1" x14ac:dyDescent="0.35">
      <c r="A5707" s="9" t="s">
        <v>65</v>
      </c>
      <c r="B5707" s="9" t="s">
        <v>1146</v>
      </c>
      <c r="C5707" s="9" t="s">
        <v>28</v>
      </c>
      <c r="D5707" s="9"/>
      <c r="E5707" s="10">
        <v>44716</v>
      </c>
      <c r="F5707" s="100">
        <f>SUM(J5707:L5707)</f>
        <v>612</v>
      </c>
      <c r="G5707" s="100">
        <f>SUM(Table3[[#This Row],[Kim Dệt Ngày]:[Kim Khác Đêm]])</f>
        <v>0</v>
      </c>
      <c r="H5707" s="10">
        <v>44743</v>
      </c>
      <c r="I5707" s="10">
        <v>44750</v>
      </c>
      <c r="J5707" s="9">
        <f>60+72+72+60+24+84+72</f>
        <v>444</v>
      </c>
      <c r="K5707" s="9"/>
      <c r="L5707" s="9">
        <f>84+72+12</f>
        <v>168</v>
      </c>
      <c r="M5707" s="11"/>
      <c r="N5707" s="11"/>
      <c r="O5707" s="9"/>
      <c r="P5707" s="9"/>
      <c r="Q5707" s="9"/>
    </row>
    <row r="5708" spans="1:17" ht="14.5" hidden="1" customHeight="1" x14ac:dyDescent="0.35">
      <c r="A5708" s="9" t="s">
        <v>65</v>
      </c>
      <c r="B5708" s="9" t="s">
        <v>1146</v>
      </c>
      <c r="C5708" s="9" t="s">
        <v>28</v>
      </c>
      <c r="D5708" s="9"/>
      <c r="E5708" s="10">
        <v>44750</v>
      </c>
      <c r="F5708" s="100">
        <f>SUM(J5708:L5708)</f>
        <v>60</v>
      </c>
      <c r="G5708" s="100">
        <f>SUM(Table3[[#This Row],[Kim Dệt Ngày]:[Kim Khác Đêm]])</f>
        <v>0</v>
      </c>
      <c r="H5708" s="10">
        <v>44751</v>
      </c>
      <c r="I5708" s="144">
        <v>44751</v>
      </c>
      <c r="J5708" s="14">
        <v>60</v>
      </c>
      <c r="K5708" s="14"/>
      <c r="L5708" s="14"/>
      <c r="M5708" s="146"/>
      <c r="N5708" s="146"/>
      <c r="O5708" s="14"/>
      <c r="P5708" s="14"/>
      <c r="Q5708" s="14"/>
    </row>
    <row r="5709" spans="1:17" ht="14.5" hidden="1" customHeight="1" x14ac:dyDescent="0.35">
      <c r="A5709" s="9" t="s">
        <v>65</v>
      </c>
      <c r="B5709" s="150" t="s">
        <v>1146</v>
      </c>
      <c r="C5709" s="9" t="s">
        <v>28</v>
      </c>
      <c r="D5709" s="9"/>
      <c r="E5709" s="10">
        <v>44750</v>
      </c>
      <c r="F5709" s="100">
        <f>SUM(J5709:L5709)</f>
        <v>12</v>
      </c>
      <c r="G5709" s="100">
        <f>SUM(Table3[[#This Row],[Kim Dệt Ngày]:[Kim Khác Đêm]])</f>
        <v>0</v>
      </c>
      <c r="H5709" s="10">
        <v>44753</v>
      </c>
      <c r="I5709" s="10">
        <v>44756</v>
      </c>
      <c r="J5709" s="9">
        <f>12</f>
        <v>12</v>
      </c>
      <c r="K5709" s="9"/>
      <c r="L5709" s="9"/>
      <c r="M5709" s="11"/>
      <c r="N5709" s="11"/>
      <c r="O5709" s="9"/>
      <c r="P5709" s="9"/>
      <c r="Q5709" s="9"/>
    </row>
    <row r="5710" spans="1:17" x14ac:dyDescent="0.35">
      <c r="A5710" s="9" t="s">
        <v>48</v>
      </c>
      <c r="B5710" s="9" t="s">
        <v>2080</v>
      </c>
      <c r="C5710" s="9" t="s">
        <v>39</v>
      </c>
      <c r="D5710" s="9"/>
      <c r="E5710" s="10">
        <v>44760</v>
      </c>
      <c r="F5710" s="100">
        <f>SUM(J5710:L5710)</f>
        <v>192</v>
      </c>
      <c r="G5710" s="100">
        <f>SUM(Table3[[#This Row],[Kim Dệt Ngày]:[Kim Khác Đêm]])</f>
        <v>0</v>
      </c>
      <c r="H5710" s="10">
        <v>44761</v>
      </c>
      <c r="I5710" s="10"/>
      <c r="J5710" s="9">
        <f>48+36+36</f>
        <v>120</v>
      </c>
      <c r="K5710" s="9">
        <f>24+36+12</f>
        <v>72</v>
      </c>
      <c r="L5710" s="9"/>
      <c r="M5710" s="11"/>
      <c r="N5710" s="11"/>
      <c r="O5710" s="9"/>
      <c r="P5710" s="9"/>
      <c r="Q5710" s="9"/>
    </row>
    <row r="5711" spans="1:17" ht="14.5" hidden="1" customHeight="1" x14ac:dyDescent="0.35">
      <c r="A5711" s="9" t="s">
        <v>43</v>
      </c>
      <c r="B5711" s="9" t="s">
        <v>582</v>
      </c>
      <c r="C5711" s="9" t="s">
        <v>28</v>
      </c>
      <c r="D5711" s="9"/>
      <c r="E5711" s="10">
        <v>44742</v>
      </c>
      <c r="F5711" s="100">
        <f>SUM(J5711:L5711)</f>
        <v>876</v>
      </c>
      <c r="G5711" s="100">
        <f>SUM(Table3[[#This Row],[Kim Dệt Ngày]:[Kim Khác Đêm]])</f>
        <v>0</v>
      </c>
      <c r="H5711" s="10">
        <v>44743</v>
      </c>
      <c r="I5711" s="10">
        <v>44753</v>
      </c>
      <c r="J5711" s="9">
        <f>60+84+84+72+60+96+84+48+48</f>
        <v>636</v>
      </c>
      <c r="K5711" s="9"/>
      <c r="L5711" s="9">
        <f>84+96+60</f>
        <v>240</v>
      </c>
      <c r="M5711" s="11"/>
      <c r="N5711" s="11"/>
      <c r="O5711" s="9"/>
      <c r="P5711" s="9"/>
      <c r="Q5711" s="9"/>
    </row>
    <row r="5712" spans="1:17" x14ac:dyDescent="0.35">
      <c r="A5712" s="9" t="s">
        <v>49</v>
      </c>
      <c r="B5712" s="9" t="s">
        <v>1510</v>
      </c>
      <c r="C5712" s="9" t="s">
        <v>25</v>
      </c>
      <c r="D5712" s="9"/>
      <c r="E5712" s="10">
        <v>44754</v>
      </c>
      <c r="F5712" s="100">
        <f>SUM(J5712:L5712)</f>
        <v>144</v>
      </c>
      <c r="G5712" s="100">
        <f>SUM(Table3[[#This Row],[Kim Dệt Ngày]:[Kim Khác Đêm]])</f>
        <v>0</v>
      </c>
      <c r="H5712" s="10">
        <v>44760</v>
      </c>
      <c r="I5712" s="10"/>
      <c r="J5712" s="9">
        <f>24+48+36+12</f>
        <v>120</v>
      </c>
      <c r="K5712" s="9">
        <f>12+12</f>
        <v>24</v>
      </c>
      <c r="L5712" s="9"/>
      <c r="M5712" s="11"/>
      <c r="N5712" s="11"/>
      <c r="O5712" s="9"/>
      <c r="P5712" s="9"/>
      <c r="Q5712" s="9"/>
    </row>
    <row r="5713" spans="1:17" ht="14.5" hidden="1" customHeight="1" x14ac:dyDescent="0.35">
      <c r="A5713" s="9" t="s">
        <v>46</v>
      </c>
      <c r="B5713" s="9" t="s">
        <v>772</v>
      </c>
      <c r="C5713" s="9" t="s">
        <v>28</v>
      </c>
      <c r="D5713" s="9"/>
      <c r="E5713" s="10">
        <v>44739</v>
      </c>
      <c r="F5713" s="100">
        <f>SUM(J5713:L5713)</f>
        <v>984</v>
      </c>
      <c r="G5713" s="100">
        <f>SUM(Table3[[#This Row],[Kim Dệt Ngày]:[Kim Khác Đêm]])</f>
        <v>4</v>
      </c>
      <c r="H5713" s="10">
        <v>44743</v>
      </c>
      <c r="I5713" s="10">
        <v>44753</v>
      </c>
      <c r="J5713" s="9">
        <f>72+72+60+60+60+84+84+36+72</f>
        <v>600</v>
      </c>
      <c r="K5713" s="9"/>
      <c r="L5713" s="9">
        <f>96+84+48+72+84</f>
        <v>384</v>
      </c>
      <c r="M5713" s="11">
        <f>1+3</f>
        <v>4</v>
      </c>
      <c r="N5713" s="11"/>
      <c r="O5713" s="9"/>
      <c r="P5713" s="9"/>
      <c r="Q5713" s="9"/>
    </row>
    <row r="5714" spans="1:17" x14ac:dyDescent="0.35">
      <c r="A5714" s="9" t="s">
        <v>51</v>
      </c>
      <c r="B5714" s="9" t="s">
        <v>1510</v>
      </c>
      <c r="C5714" s="9" t="s">
        <v>18</v>
      </c>
      <c r="D5714" s="9"/>
      <c r="E5714" s="10">
        <v>44754</v>
      </c>
      <c r="F5714" s="100">
        <f>SUM(J5714:L5714)</f>
        <v>384</v>
      </c>
      <c r="G5714" s="100">
        <f>SUM(Table3[[#This Row],[Kim Dệt Ngày]:[Kim Khác Đêm]])</f>
        <v>0</v>
      </c>
      <c r="H5714" s="10">
        <v>44758</v>
      </c>
      <c r="I5714" s="10"/>
      <c r="J5714" s="9">
        <f>36+60+60+36+36</f>
        <v>228</v>
      </c>
      <c r="K5714" s="9">
        <f>36+48+0</f>
        <v>84</v>
      </c>
      <c r="L5714" s="9">
        <f>72</f>
        <v>72</v>
      </c>
      <c r="M5714" s="11"/>
      <c r="N5714" s="11"/>
      <c r="O5714" s="9"/>
      <c r="P5714" s="9"/>
      <c r="Q5714" s="9"/>
    </row>
    <row r="5715" spans="1:17" ht="14.5" hidden="1" customHeight="1" x14ac:dyDescent="0.35">
      <c r="A5715" s="9" t="s">
        <v>48</v>
      </c>
      <c r="B5715" s="9" t="s">
        <v>2080</v>
      </c>
      <c r="C5715" s="9" t="s">
        <v>28</v>
      </c>
      <c r="D5715" s="9"/>
      <c r="E5715" s="10">
        <v>44749</v>
      </c>
      <c r="F5715" s="100">
        <f>SUM(J5715:L5715)</f>
        <v>24</v>
      </c>
      <c r="G5715" s="100">
        <f>SUM(Table3[[#This Row],[Kim Dệt Ngày]:[Kim Khác Đêm]])</f>
        <v>0</v>
      </c>
      <c r="H5715" s="10">
        <v>44750</v>
      </c>
      <c r="I5715" s="10">
        <v>44750</v>
      </c>
      <c r="J5715" s="9">
        <f>24</f>
        <v>24</v>
      </c>
      <c r="K5715" s="9"/>
      <c r="L5715" s="9"/>
      <c r="M5715" s="11"/>
      <c r="N5715" s="11"/>
      <c r="O5715" s="9"/>
      <c r="P5715" s="9"/>
      <c r="Q5715" s="9"/>
    </row>
    <row r="5716" spans="1:17" ht="14.5" hidden="1" customHeight="1" x14ac:dyDescent="0.35">
      <c r="A5716" s="9" t="s">
        <v>44</v>
      </c>
      <c r="B5716" s="9" t="s">
        <v>2080</v>
      </c>
      <c r="C5716" s="9" t="s">
        <v>28</v>
      </c>
      <c r="D5716" s="9"/>
      <c r="E5716" s="10">
        <v>44741</v>
      </c>
      <c r="F5716" s="100">
        <f>SUM(J5716:L5716)</f>
        <v>396</v>
      </c>
      <c r="G5716" s="100">
        <f>SUM(Table3[[#This Row],[Kim Dệt Ngày]:[Kim Khác Đêm]])</f>
        <v>0</v>
      </c>
      <c r="H5716" s="10">
        <v>44743</v>
      </c>
      <c r="I5716" s="10">
        <v>44749</v>
      </c>
      <c r="J5716" s="9">
        <f>48+48+48+48+48+60</f>
        <v>300</v>
      </c>
      <c r="K5716" s="9"/>
      <c r="L5716" s="9">
        <f>60+36</f>
        <v>96</v>
      </c>
      <c r="M5716" s="11"/>
      <c r="N5716" s="11"/>
      <c r="O5716" s="9"/>
      <c r="P5716" s="9"/>
      <c r="Q5716" s="9"/>
    </row>
    <row r="5717" spans="1:17" ht="14.5" hidden="1" customHeight="1" x14ac:dyDescent="0.35">
      <c r="A5717" s="9" t="s">
        <v>45</v>
      </c>
      <c r="B5717" s="9" t="s">
        <v>2080</v>
      </c>
      <c r="C5717" s="9" t="s">
        <v>28</v>
      </c>
      <c r="D5717" s="9"/>
      <c r="E5717" s="10">
        <v>44741</v>
      </c>
      <c r="F5717" s="100">
        <f>SUM(J5717:L5717)</f>
        <v>528</v>
      </c>
      <c r="G5717" s="100">
        <f>SUM(Table3[[#This Row],[Kim Dệt Ngày]:[Kim Khác Đêm]])</f>
        <v>0</v>
      </c>
      <c r="H5717" s="10">
        <v>44743</v>
      </c>
      <c r="I5717" s="10">
        <v>44749</v>
      </c>
      <c r="J5717" s="9">
        <f>60+60+60+60+48+72</f>
        <v>360</v>
      </c>
      <c r="K5717" s="9"/>
      <c r="L5717" s="9">
        <f>60+72+36</f>
        <v>168</v>
      </c>
      <c r="M5717" s="11"/>
      <c r="N5717" s="11"/>
      <c r="O5717" s="9"/>
      <c r="P5717" s="9"/>
      <c r="Q5717" s="9"/>
    </row>
    <row r="5718" spans="1:17" ht="14.5" hidden="1" customHeight="1" x14ac:dyDescent="0.35">
      <c r="A5718" s="9" t="s">
        <v>48</v>
      </c>
      <c r="B5718" s="150" t="s">
        <v>2080</v>
      </c>
      <c r="C5718" s="9" t="s">
        <v>28</v>
      </c>
      <c r="D5718" s="9"/>
      <c r="E5718" s="10">
        <v>44741</v>
      </c>
      <c r="F5718" s="100">
        <f>SUM(J5718:L5718)</f>
        <v>312</v>
      </c>
      <c r="G5718" s="100">
        <f>SUM(Table3[[#This Row],[Kim Dệt Ngày]:[Kim Khác Đêm]])</f>
        <v>2</v>
      </c>
      <c r="H5718" s="10">
        <v>44743</v>
      </c>
      <c r="I5718" s="10">
        <v>44749</v>
      </c>
      <c r="J5718" s="9">
        <f>36+36+36+48+36+36</f>
        <v>228</v>
      </c>
      <c r="K5718" s="9"/>
      <c r="L5718" s="9">
        <f>36+48</f>
        <v>84</v>
      </c>
      <c r="M5718" s="11">
        <f>2</f>
        <v>2</v>
      </c>
      <c r="N5718" s="11"/>
      <c r="O5718" s="9"/>
      <c r="P5718" s="9"/>
      <c r="Q5718" s="9"/>
    </row>
    <row r="5719" spans="1:17" ht="14.5" hidden="1" customHeight="1" x14ac:dyDescent="0.35">
      <c r="A5719" s="9" t="s">
        <v>82</v>
      </c>
      <c r="B5719" s="9" t="s">
        <v>2080</v>
      </c>
      <c r="C5719" s="9" t="s">
        <v>39</v>
      </c>
      <c r="D5719" s="9"/>
      <c r="E5719" s="10">
        <v>44741</v>
      </c>
      <c r="F5719" s="100">
        <f>SUM(J5719:L5719)</f>
        <v>1212</v>
      </c>
      <c r="G5719" s="100">
        <f>SUM(Table3[[#This Row],[Kim Dệt Ngày]:[Kim Khác Đêm]])</f>
        <v>0</v>
      </c>
      <c r="H5719" s="10">
        <v>44743</v>
      </c>
      <c r="I5719" s="10">
        <v>44749</v>
      </c>
      <c r="J5719" s="9">
        <f>72+84+72+84+72+84</f>
        <v>468</v>
      </c>
      <c r="K5719" s="9"/>
      <c r="L5719" s="9">
        <f>120+96+108+120+96+108+96</f>
        <v>744</v>
      </c>
      <c r="M5719" s="11"/>
      <c r="N5719" s="11"/>
      <c r="O5719" s="9"/>
      <c r="P5719" s="9"/>
      <c r="Q5719" s="9"/>
    </row>
    <row r="5720" spans="1:17" ht="14.5" hidden="1" customHeight="1" x14ac:dyDescent="0.35">
      <c r="A5720" s="9" t="s">
        <v>44</v>
      </c>
      <c r="B5720" s="150" t="s">
        <v>2080</v>
      </c>
      <c r="C5720" s="9" t="s">
        <v>28</v>
      </c>
      <c r="D5720" s="9"/>
      <c r="E5720" s="10">
        <v>44749</v>
      </c>
      <c r="F5720" s="100">
        <f>SUM(J5720:L5720)</f>
        <v>60</v>
      </c>
      <c r="G5720" s="100">
        <f>SUM(Table3[[#This Row],[Kim Dệt Ngày]:[Kim Khác Đêm]])</f>
        <v>0</v>
      </c>
      <c r="H5720" s="10">
        <v>44750</v>
      </c>
      <c r="I5720" s="10">
        <v>44753</v>
      </c>
      <c r="J5720" s="9">
        <f>24+24+12</f>
        <v>60</v>
      </c>
      <c r="K5720" s="9"/>
      <c r="L5720" s="9"/>
      <c r="M5720" s="11"/>
      <c r="N5720" s="11"/>
      <c r="O5720" s="9"/>
      <c r="P5720" s="9"/>
      <c r="Q5720" s="9"/>
    </row>
    <row r="5721" spans="1:17" ht="14.5" hidden="1" customHeight="1" x14ac:dyDescent="0.35">
      <c r="A5721" s="9" t="s">
        <v>44</v>
      </c>
      <c r="B5721" s="9" t="s">
        <v>2080</v>
      </c>
      <c r="C5721" s="9" t="s">
        <v>39</v>
      </c>
      <c r="D5721" s="9"/>
      <c r="E5721" s="10">
        <v>44749</v>
      </c>
      <c r="F5721" s="100">
        <f>SUM(J5721:L5721)</f>
        <v>96</v>
      </c>
      <c r="G5721" s="100">
        <f>SUM(Table3[[#This Row],[Kim Dệt Ngày]:[Kim Khác Đêm]])</f>
        <v>0</v>
      </c>
      <c r="H5721" s="10">
        <v>44754</v>
      </c>
      <c r="I5721" s="10">
        <v>44755</v>
      </c>
      <c r="J5721" s="9">
        <f>48+48</f>
        <v>96</v>
      </c>
      <c r="K5721" s="9"/>
      <c r="L5721" s="9"/>
      <c r="M5721" s="11"/>
      <c r="N5721" s="11"/>
      <c r="O5721" s="9"/>
      <c r="P5721" s="9"/>
      <c r="Q5721" s="9"/>
    </row>
    <row r="5722" spans="1:17" ht="14.5" hidden="1" customHeight="1" x14ac:dyDescent="0.35">
      <c r="A5722" s="9" t="s">
        <v>45</v>
      </c>
      <c r="B5722" s="9" t="s">
        <v>2080</v>
      </c>
      <c r="C5722" s="9" t="s">
        <v>28</v>
      </c>
      <c r="D5722" s="9"/>
      <c r="E5722" s="10">
        <v>44749</v>
      </c>
      <c r="F5722" s="100">
        <f>SUM(J5722:L5722)</f>
        <v>360</v>
      </c>
      <c r="G5722" s="100">
        <f>SUM(Table3[[#This Row],[Kim Dệt Ngày]:[Kim Khác Đêm]])</f>
        <v>0</v>
      </c>
      <c r="H5722" s="10">
        <v>44750</v>
      </c>
      <c r="I5722" s="10">
        <v>44755</v>
      </c>
      <c r="J5722" s="9">
        <f>60+36+60+60</f>
        <v>216</v>
      </c>
      <c r="K5722" s="9"/>
      <c r="L5722" s="9">
        <f>72+72</f>
        <v>144</v>
      </c>
      <c r="M5722" s="11"/>
      <c r="N5722" s="11"/>
      <c r="O5722" s="9"/>
      <c r="P5722" s="9"/>
      <c r="Q5722" s="9"/>
    </row>
    <row r="5723" spans="1:17" ht="14.5" hidden="1" customHeight="1" x14ac:dyDescent="0.35">
      <c r="A5723" s="9" t="s">
        <v>48</v>
      </c>
      <c r="B5723" s="9" t="s">
        <v>2080</v>
      </c>
      <c r="C5723" s="9" t="s">
        <v>39</v>
      </c>
      <c r="D5723" s="9"/>
      <c r="E5723" s="10">
        <v>44749</v>
      </c>
      <c r="F5723" s="100">
        <f>SUM(J5723:L5723)</f>
        <v>336</v>
      </c>
      <c r="G5723" s="100">
        <f>SUM(Table3[[#This Row],[Kim Dệt Ngày]:[Kim Khác Đêm]])</f>
        <v>0</v>
      </c>
      <c r="H5723" s="10">
        <v>44750</v>
      </c>
      <c r="I5723" s="10">
        <v>44755</v>
      </c>
      <c r="J5723" s="9">
        <f>24+24+36+36+24</f>
        <v>144</v>
      </c>
      <c r="K5723" s="9"/>
      <c r="L5723" s="9">
        <f>48+48+48+48</f>
        <v>192</v>
      </c>
      <c r="M5723" s="11"/>
      <c r="N5723" s="11"/>
      <c r="O5723" s="9"/>
      <c r="P5723" s="9"/>
      <c r="Q5723" s="9"/>
    </row>
    <row r="5724" spans="1:17" ht="14.5" hidden="1" customHeight="1" x14ac:dyDescent="0.35">
      <c r="A5724" s="9" t="s">
        <v>82</v>
      </c>
      <c r="B5724" s="9" t="s">
        <v>2080</v>
      </c>
      <c r="C5724" s="9" t="s">
        <v>39</v>
      </c>
      <c r="D5724" s="9"/>
      <c r="E5724" s="10">
        <v>44749</v>
      </c>
      <c r="F5724" s="100">
        <f>SUM(J5724:L5724)</f>
        <v>876</v>
      </c>
      <c r="G5724" s="100">
        <f>SUM(Table3[[#This Row],[Kim Dệt Ngày]:[Kim Khác Đêm]])</f>
        <v>0</v>
      </c>
      <c r="H5724" s="10">
        <v>44750</v>
      </c>
      <c r="I5724" s="10">
        <v>44755</v>
      </c>
      <c r="J5724" s="9">
        <f>84+84+96+84</f>
        <v>348</v>
      </c>
      <c r="K5724" s="9"/>
      <c r="L5724" s="9">
        <f>96+108+96+96+48+84</f>
        <v>528</v>
      </c>
      <c r="M5724" s="11"/>
      <c r="N5724" s="11"/>
      <c r="O5724" s="9"/>
      <c r="P5724" s="9"/>
      <c r="Q5724" s="9"/>
    </row>
    <row r="5725" spans="1:17" x14ac:dyDescent="0.35">
      <c r="A5725" s="9" t="s">
        <v>53</v>
      </c>
      <c r="B5725" s="9" t="s">
        <v>1442</v>
      </c>
      <c r="C5725" s="9" t="s">
        <v>39</v>
      </c>
      <c r="D5725" s="9"/>
      <c r="E5725" s="10">
        <v>44754</v>
      </c>
      <c r="F5725" s="100">
        <f>SUM(J5725:L5725)</f>
        <v>300</v>
      </c>
      <c r="G5725" s="100">
        <f>SUM(Table3[[#This Row],[Kim Dệt Ngày]:[Kim Khác Đêm]])</f>
        <v>0</v>
      </c>
      <c r="H5725" s="10">
        <v>44760</v>
      </c>
      <c r="I5725" s="10"/>
      <c r="J5725" s="9">
        <f>48+72+36+60</f>
        <v>216</v>
      </c>
      <c r="K5725" s="9">
        <f>36+36+12</f>
        <v>84</v>
      </c>
      <c r="L5725" s="9"/>
      <c r="M5725" s="11"/>
      <c r="N5725" s="11"/>
      <c r="O5725" s="9"/>
      <c r="P5725" s="9"/>
      <c r="Q5725" s="9"/>
    </row>
    <row r="5726" spans="1:17" x14ac:dyDescent="0.35">
      <c r="A5726" s="9" t="s">
        <v>55</v>
      </c>
      <c r="B5726" s="9" t="s">
        <v>1442</v>
      </c>
      <c r="C5726" s="9" t="s">
        <v>28</v>
      </c>
      <c r="D5726" s="9"/>
      <c r="E5726" s="10">
        <v>44754</v>
      </c>
      <c r="F5726" s="100">
        <f>SUM(J5726:L5726)</f>
        <v>96</v>
      </c>
      <c r="G5726" s="100">
        <f>SUM(Table3[[#This Row],[Kim Dệt Ngày]:[Kim Khác Đêm]])</f>
        <v>0</v>
      </c>
      <c r="H5726" s="10">
        <v>44762</v>
      </c>
      <c r="I5726" s="10"/>
      <c r="J5726" s="9">
        <f>36+48</f>
        <v>84</v>
      </c>
      <c r="K5726" s="9">
        <f>12</f>
        <v>12</v>
      </c>
      <c r="L5726" s="9"/>
      <c r="M5726" s="11"/>
      <c r="N5726" s="11"/>
      <c r="O5726" s="9"/>
      <c r="P5726" s="9"/>
      <c r="Q5726" s="9"/>
    </row>
    <row r="5727" spans="1:17" ht="14.5" hidden="1" customHeight="1" x14ac:dyDescent="0.35">
      <c r="A5727" s="9" t="s">
        <v>44</v>
      </c>
      <c r="B5727" s="9" t="s">
        <v>2080</v>
      </c>
      <c r="C5727" s="9" t="s">
        <v>39</v>
      </c>
      <c r="D5727" s="9"/>
      <c r="E5727" s="10">
        <v>44755</v>
      </c>
      <c r="F5727" s="100">
        <f>SUM(J5727:L5727)</f>
        <v>408</v>
      </c>
      <c r="G5727" s="100">
        <f>SUM(Table3[[#This Row],[Kim Dệt Ngày]:[Kim Khác Đêm]])</f>
        <v>0</v>
      </c>
      <c r="H5727" s="10">
        <v>44756</v>
      </c>
      <c r="I5727" s="10">
        <v>44760</v>
      </c>
      <c r="J5727" s="9">
        <f>60+72+48+36</f>
        <v>216</v>
      </c>
      <c r="K5727" s="9"/>
      <c r="L5727" s="9">
        <f>48+72+72</f>
        <v>192</v>
      </c>
      <c r="M5727" s="11"/>
      <c r="N5727" s="11"/>
      <c r="O5727" s="9"/>
      <c r="P5727" s="9"/>
      <c r="Q5727" s="9"/>
    </row>
    <row r="5728" spans="1:17" ht="14.5" hidden="1" customHeight="1" x14ac:dyDescent="0.35">
      <c r="A5728" s="9" t="s">
        <v>48</v>
      </c>
      <c r="B5728" s="9" t="s">
        <v>2080</v>
      </c>
      <c r="C5728" s="9" t="s">
        <v>39</v>
      </c>
      <c r="D5728" s="9"/>
      <c r="E5728" s="10">
        <v>44755</v>
      </c>
      <c r="F5728" s="100">
        <f>SUM(J5728:L5728)</f>
        <v>288</v>
      </c>
      <c r="G5728" s="100">
        <f>SUM(Table3[[#This Row],[Kim Dệt Ngày]:[Kim Khác Đêm]])</f>
        <v>0</v>
      </c>
      <c r="H5728" s="10">
        <v>44756</v>
      </c>
      <c r="I5728" s="10">
        <v>44760</v>
      </c>
      <c r="J5728" s="9">
        <f>48+36+36+36</f>
        <v>156</v>
      </c>
      <c r="K5728" s="9"/>
      <c r="L5728" s="9">
        <f>48+36+48</f>
        <v>132</v>
      </c>
      <c r="M5728" s="11"/>
      <c r="N5728" s="11"/>
      <c r="O5728" s="9"/>
      <c r="P5728" s="9"/>
      <c r="Q5728" s="9"/>
    </row>
    <row r="5729" spans="1:17" ht="14.5" hidden="1" customHeight="1" x14ac:dyDescent="0.35">
      <c r="A5729" s="9" t="s">
        <v>82</v>
      </c>
      <c r="B5729" s="9" t="s">
        <v>2080</v>
      </c>
      <c r="C5729" s="9" t="s">
        <v>39</v>
      </c>
      <c r="D5729" s="9"/>
      <c r="E5729" s="10">
        <v>44755</v>
      </c>
      <c r="F5729" s="100">
        <f>SUM(J5729:L5729)</f>
        <v>852</v>
      </c>
      <c r="G5729" s="100">
        <f>SUM(Table3[[#This Row],[Kim Dệt Ngày]:[Kim Khác Đêm]])</f>
        <v>0</v>
      </c>
      <c r="H5729" s="10">
        <v>44756</v>
      </c>
      <c r="I5729" s="10">
        <v>44760</v>
      </c>
      <c r="J5729" s="9">
        <f>84+84+72+96</f>
        <v>336</v>
      </c>
      <c r="K5729" s="9"/>
      <c r="L5729" s="9">
        <f>108+96+108+108+96</f>
        <v>516</v>
      </c>
      <c r="M5729" s="11"/>
      <c r="N5729" s="11"/>
      <c r="O5729" s="9"/>
      <c r="P5729" s="9"/>
      <c r="Q5729" s="9"/>
    </row>
    <row r="5730" spans="1:17" x14ac:dyDescent="0.35">
      <c r="A5730" s="9" t="s">
        <v>56</v>
      </c>
      <c r="B5730" s="9" t="s">
        <v>2243</v>
      </c>
      <c r="C5730" s="9" t="s">
        <v>28</v>
      </c>
      <c r="D5730" s="9"/>
      <c r="E5730" s="10">
        <v>44760</v>
      </c>
      <c r="F5730" s="100">
        <f>SUM(J5730:L5730)</f>
        <v>204</v>
      </c>
      <c r="G5730" s="100">
        <f>SUM(Table3[[#This Row],[Kim Dệt Ngày]:[Kim Khác Đêm]])</f>
        <v>0</v>
      </c>
      <c r="H5730" s="10">
        <v>44761</v>
      </c>
      <c r="I5730" s="10"/>
      <c r="J5730" s="9">
        <f>48+48+48</f>
        <v>144</v>
      </c>
      <c r="K5730" s="9">
        <f>24+36</f>
        <v>60</v>
      </c>
      <c r="L5730" s="9"/>
      <c r="M5730" s="11"/>
      <c r="N5730" s="11"/>
      <c r="O5730" s="9"/>
      <c r="P5730" s="9"/>
      <c r="Q5730" s="9"/>
    </row>
    <row r="5731" spans="1:17" x14ac:dyDescent="0.35">
      <c r="A5731" s="9" t="s">
        <v>57</v>
      </c>
      <c r="B5731" s="9" t="s">
        <v>2243</v>
      </c>
      <c r="C5731" s="9" t="s">
        <v>25</v>
      </c>
      <c r="D5731" s="9"/>
      <c r="E5731" s="10">
        <v>44760</v>
      </c>
      <c r="F5731" s="100">
        <f>SUM(J5731:L5731)</f>
        <v>216</v>
      </c>
      <c r="G5731" s="100">
        <f>SUM(Table3[[#This Row],[Kim Dệt Ngày]:[Kim Khác Đêm]])</f>
        <v>0</v>
      </c>
      <c r="H5731" s="10">
        <v>44761</v>
      </c>
      <c r="I5731" s="10"/>
      <c r="J5731" s="9">
        <f>48+48+60</f>
        <v>156</v>
      </c>
      <c r="K5731" s="9">
        <f>24+36</f>
        <v>60</v>
      </c>
      <c r="L5731" s="9"/>
      <c r="M5731" s="11"/>
      <c r="N5731" s="11"/>
      <c r="O5731" s="9"/>
      <c r="P5731" s="9"/>
      <c r="Q5731" s="9"/>
    </row>
    <row r="5732" spans="1:17" ht="14.5" hidden="1" customHeight="1" x14ac:dyDescent="0.35">
      <c r="A5732" s="9" t="s">
        <v>23</v>
      </c>
      <c r="B5732" s="9" t="s">
        <v>234</v>
      </c>
      <c r="C5732" s="9" t="s">
        <v>39</v>
      </c>
      <c r="D5732" s="9"/>
      <c r="E5732" s="10">
        <v>44734</v>
      </c>
      <c r="F5732" s="100">
        <f>SUM(J5732:L5732)</f>
        <v>60</v>
      </c>
      <c r="G5732" s="100">
        <f>SUM(Table3[[#This Row],[Kim Dệt Ngày]:[Kim Khác Đêm]])</f>
        <v>0</v>
      </c>
      <c r="H5732" s="10">
        <v>44743</v>
      </c>
      <c r="I5732" s="10">
        <v>44743</v>
      </c>
      <c r="J5732" s="9">
        <f>60</f>
        <v>60</v>
      </c>
      <c r="K5732" s="9"/>
      <c r="L5732" s="9"/>
      <c r="M5732" s="11"/>
      <c r="N5732" s="11"/>
      <c r="O5732" s="9"/>
      <c r="P5732" s="9"/>
      <c r="Q5732" s="9"/>
    </row>
    <row r="5733" spans="1:17" x14ac:dyDescent="0.35">
      <c r="A5733" s="9" t="s">
        <v>58</v>
      </c>
      <c r="B5733" s="9" t="s">
        <v>30</v>
      </c>
      <c r="C5733" s="9" t="s">
        <v>18</v>
      </c>
      <c r="D5733" s="9"/>
      <c r="E5733" s="10">
        <v>44756</v>
      </c>
      <c r="F5733" s="100">
        <f>SUM(J5733:L5733)</f>
        <v>264</v>
      </c>
      <c r="G5733" s="100">
        <f>SUM(Table3[[#This Row],[Kim Dệt Ngày]:[Kim Khác Đêm]])</f>
        <v>0</v>
      </c>
      <c r="H5733" s="10">
        <v>44760</v>
      </c>
      <c r="I5733" s="10"/>
      <c r="J5733" s="9">
        <f>36+60+48+48</f>
        <v>192</v>
      </c>
      <c r="K5733" s="9">
        <f>24+36+12</f>
        <v>72</v>
      </c>
      <c r="L5733" s="9"/>
      <c r="M5733" s="11"/>
      <c r="N5733" s="11"/>
      <c r="O5733" s="9"/>
      <c r="P5733" s="9"/>
      <c r="Q5733" s="9"/>
    </row>
    <row r="5734" spans="1:17" ht="14.5" hidden="1" customHeight="1" x14ac:dyDescent="0.35">
      <c r="A5734" s="9" t="s">
        <v>31</v>
      </c>
      <c r="B5734" s="9" t="s">
        <v>234</v>
      </c>
      <c r="C5734" s="9" t="s">
        <v>28</v>
      </c>
      <c r="D5734" s="9"/>
      <c r="E5734" s="10">
        <v>44754</v>
      </c>
      <c r="F5734" s="100">
        <f>SUM(J5734:L5734)</f>
        <v>936</v>
      </c>
      <c r="G5734" s="100">
        <f>SUM(Table3[[#This Row],[Kim Dệt Ngày]:[Kim Khác Đêm]])</f>
        <v>0</v>
      </c>
      <c r="H5734" s="10">
        <v>44754</v>
      </c>
      <c r="I5734" s="10">
        <v>44761</v>
      </c>
      <c r="J5734" s="9">
        <f>72+84+84+84+72+72+12</f>
        <v>480</v>
      </c>
      <c r="K5734" s="9"/>
      <c r="L5734" s="9">
        <f>96+84+96+84+96</f>
        <v>456</v>
      </c>
      <c r="M5734" s="11"/>
      <c r="N5734" s="11"/>
      <c r="O5734" s="9"/>
      <c r="P5734" s="9"/>
      <c r="Q5734" s="9"/>
    </row>
    <row r="5735" spans="1:17" ht="14.5" hidden="1" customHeight="1" x14ac:dyDescent="0.35">
      <c r="A5735" s="9" t="s">
        <v>51</v>
      </c>
      <c r="B5735" s="9" t="s">
        <v>1510</v>
      </c>
      <c r="C5735" s="9" t="s">
        <v>25</v>
      </c>
      <c r="D5735" s="9"/>
      <c r="E5735" s="10">
        <v>44721</v>
      </c>
      <c r="F5735" s="100">
        <f>SUM(J5735:L5735)</f>
        <v>396</v>
      </c>
      <c r="G5735" s="100">
        <f>SUM(Table3[[#This Row],[Kim Dệt Ngày]:[Kim Khác Đêm]])</f>
        <v>3</v>
      </c>
      <c r="H5735" s="10">
        <v>44746</v>
      </c>
      <c r="I5735" s="10">
        <v>44753</v>
      </c>
      <c r="J5735" s="9">
        <f>24+48+36+60+48+36+24</f>
        <v>276</v>
      </c>
      <c r="K5735" s="9"/>
      <c r="L5735" s="9">
        <f>48+72</f>
        <v>120</v>
      </c>
      <c r="M5735" s="11">
        <f>3</f>
        <v>3</v>
      </c>
      <c r="N5735" s="11"/>
      <c r="O5735" s="9"/>
      <c r="P5735" s="9"/>
      <c r="Q5735" s="9"/>
    </row>
    <row r="5736" spans="1:17" ht="14.5" hidden="1" customHeight="1" x14ac:dyDescent="0.35">
      <c r="A5736" s="9" t="s">
        <v>49</v>
      </c>
      <c r="B5736" s="9" t="s">
        <v>1510</v>
      </c>
      <c r="C5736" s="9" t="s">
        <v>18</v>
      </c>
      <c r="D5736" s="9"/>
      <c r="E5736" s="10">
        <v>44754</v>
      </c>
      <c r="F5736" s="100">
        <f>SUM(J5736:L5736)</f>
        <v>48</v>
      </c>
      <c r="G5736" s="100">
        <f>SUM(Table3[[#This Row],[Kim Dệt Ngày]:[Kim Khác Đêm]])</f>
        <v>0</v>
      </c>
      <c r="H5736" s="10">
        <v>44755</v>
      </c>
      <c r="I5736" s="10">
        <v>44755</v>
      </c>
      <c r="J5736" s="9">
        <f>48</f>
        <v>48</v>
      </c>
      <c r="K5736" s="9"/>
      <c r="L5736" s="9"/>
      <c r="M5736" s="11"/>
      <c r="N5736" s="11"/>
      <c r="O5736" s="9"/>
      <c r="P5736" s="9"/>
      <c r="Q5736" s="9"/>
    </row>
    <row r="5737" spans="1:17" ht="14.5" hidden="1" customHeight="1" x14ac:dyDescent="0.35">
      <c r="A5737" s="9" t="s">
        <v>49</v>
      </c>
      <c r="B5737" s="9" t="s">
        <v>1510</v>
      </c>
      <c r="C5737" s="9" t="s">
        <v>18</v>
      </c>
      <c r="D5737" s="9"/>
      <c r="E5737" s="10">
        <v>44721</v>
      </c>
      <c r="F5737" s="100">
        <f>SUM(J5737:L5737)</f>
        <v>276</v>
      </c>
      <c r="G5737" s="100">
        <f>SUM(Table3[[#This Row],[Kim Dệt Ngày]:[Kim Khác Đêm]])</f>
        <v>0</v>
      </c>
      <c r="H5737" s="10">
        <v>44750</v>
      </c>
      <c r="I5737" s="10">
        <v>44754</v>
      </c>
      <c r="J5737" s="9">
        <f>24+24+36+48</f>
        <v>132</v>
      </c>
      <c r="K5737" s="9"/>
      <c r="L5737" s="9">
        <f>48+48+48</f>
        <v>144</v>
      </c>
      <c r="M5737" s="11"/>
      <c r="N5737" s="11"/>
      <c r="O5737" s="9"/>
      <c r="P5737" s="9"/>
      <c r="Q5737" s="9"/>
    </row>
    <row r="5738" spans="1:17" ht="14.5" hidden="1" customHeight="1" x14ac:dyDescent="0.35">
      <c r="A5738" s="9" t="s">
        <v>51</v>
      </c>
      <c r="B5738" s="9" t="s">
        <v>1510</v>
      </c>
      <c r="C5738" s="9" t="s">
        <v>28</v>
      </c>
      <c r="D5738" s="9"/>
      <c r="E5738" s="10">
        <v>44721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36+72</f>
        <v>108</v>
      </c>
      <c r="K5738" s="9"/>
      <c r="L5738" s="9">
        <f>72+60</f>
        <v>132</v>
      </c>
      <c r="M5738" s="11"/>
      <c r="N5738" s="11"/>
      <c r="O5738" s="9"/>
      <c r="P5738" s="9"/>
      <c r="Q5738" s="9"/>
    </row>
    <row r="5739" spans="1:17" ht="14.5" hidden="1" customHeight="1" x14ac:dyDescent="0.35">
      <c r="A5739" s="9" t="s">
        <v>51</v>
      </c>
      <c r="B5739" s="9" t="s">
        <v>1510</v>
      </c>
      <c r="C5739" s="9" t="s">
        <v>28</v>
      </c>
      <c r="D5739" s="9"/>
      <c r="E5739" s="10">
        <v>44754</v>
      </c>
      <c r="F5739" s="100">
        <f>SUM(J5739:L5739)</f>
        <v>420</v>
      </c>
      <c r="G5739" s="100">
        <f>SUM(Table3[[#This Row],[Kim Dệt Ngày]:[Kim Khác Đêm]])</f>
        <v>0</v>
      </c>
      <c r="H5739" s="10">
        <v>44755</v>
      </c>
      <c r="I5739" s="10">
        <v>44758</v>
      </c>
      <c r="J5739" s="9">
        <f>72+72+72+24</f>
        <v>240</v>
      </c>
      <c r="K5739" s="9"/>
      <c r="L5739" s="9">
        <f>60+60+60</f>
        <v>180</v>
      </c>
      <c r="M5739" s="11"/>
      <c r="N5739" s="11"/>
      <c r="O5739" s="9"/>
      <c r="P5739" s="9"/>
      <c r="Q5739" s="9"/>
    </row>
    <row r="5740" spans="1:17" ht="14.5" hidden="1" customHeight="1" x14ac:dyDescent="0.35">
      <c r="A5740" s="9" t="s">
        <v>49</v>
      </c>
      <c r="B5740" s="9" t="s">
        <v>1510</v>
      </c>
      <c r="C5740" s="9" t="s">
        <v>39</v>
      </c>
      <c r="D5740" s="9"/>
      <c r="E5740" s="10">
        <v>44754</v>
      </c>
      <c r="F5740" s="100">
        <f>SUM(J5740:L5740)</f>
        <v>324</v>
      </c>
      <c r="G5740" s="100">
        <f>SUM(Table3[[#This Row],[Kim Dệt Ngày]:[Kim Khác Đêm]])</f>
        <v>0</v>
      </c>
      <c r="H5740" s="10">
        <v>44755</v>
      </c>
      <c r="I5740" s="10">
        <v>44760</v>
      </c>
      <c r="J5740" s="9">
        <f>36+48+36+12</f>
        <v>132</v>
      </c>
      <c r="K5740" s="9"/>
      <c r="L5740" s="9">
        <f>48+48+48+48</f>
        <v>192</v>
      </c>
      <c r="M5740" s="11"/>
      <c r="N5740" s="11"/>
      <c r="O5740" s="9"/>
      <c r="P5740" s="9"/>
      <c r="Q5740" s="9"/>
    </row>
    <row r="5741" spans="1:17" x14ac:dyDescent="0.35">
      <c r="A5741" s="9" t="s">
        <v>60</v>
      </c>
      <c r="B5741" s="150" t="s">
        <v>2243</v>
      </c>
      <c r="C5741" s="9" t="s">
        <v>18</v>
      </c>
      <c r="D5741" s="9"/>
      <c r="E5741" s="10">
        <v>44760</v>
      </c>
      <c r="F5741" s="100">
        <f>SUM(J5741:L5741)</f>
        <v>204</v>
      </c>
      <c r="G5741" s="100">
        <f>SUM(Table3[[#This Row],[Kim Dệt Ngày]:[Kim Khác Đêm]])</f>
        <v>0</v>
      </c>
      <c r="H5741" s="10">
        <v>44761</v>
      </c>
      <c r="I5741" s="10"/>
      <c r="J5741" s="9">
        <f>48+48+48</f>
        <v>144</v>
      </c>
      <c r="K5741" s="9">
        <f>24+24+12</f>
        <v>60</v>
      </c>
      <c r="L5741" s="9"/>
      <c r="M5741" s="11"/>
      <c r="N5741" s="11"/>
      <c r="O5741" s="9"/>
      <c r="P5741" s="9"/>
      <c r="Q5741" s="9"/>
    </row>
    <row r="5742" spans="1:17" x14ac:dyDescent="0.35">
      <c r="A5742" s="9" t="s">
        <v>61</v>
      </c>
      <c r="B5742" s="151" t="s">
        <v>196</v>
      </c>
      <c r="C5742" s="270" t="s">
        <v>18</v>
      </c>
      <c r="D5742" s="264"/>
      <c r="E5742" s="10">
        <v>44758</v>
      </c>
      <c r="F5742" s="100">
        <f>SUM(J5742:L5742)</f>
        <v>0</v>
      </c>
      <c r="G5742" s="100">
        <f>SUM(Table3[[#This Row],[Kim Dệt Ngày]:[Kim Khác Đêm]])</f>
        <v>0</v>
      </c>
      <c r="H5742" s="10">
        <v>44764</v>
      </c>
      <c r="I5742" s="10"/>
      <c r="J5742" s="9"/>
      <c r="K5742" s="9"/>
      <c r="L5742" s="9"/>
      <c r="M5742" s="11"/>
      <c r="N5742" s="11"/>
      <c r="O5742" s="9"/>
      <c r="P5742" s="9"/>
      <c r="Q5742" s="9"/>
    </row>
    <row r="5743" spans="1:17" ht="14.5" hidden="1" customHeight="1" x14ac:dyDescent="0.35">
      <c r="A5743" s="9" t="s">
        <v>40</v>
      </c>
      <c r="B5743" s="9" t="s">
        <v>1601</v>
      </c>
      <c r="C5743" s="9" t="s">
        <v>25</v>
      </c>
      <c r="D5743" s="9"/>
      <c r="E5743" s="10">
        <v>44741</v>
      </c>
      <c r="F5743" s="100">
        <f>SUM(J5743:L5743)</f>
        <v>468</v>
      </c>
      <c r="G5743" s="100">
        <f>SUM(Table3[[#This Row],[Kim Dệt Ngày]:[Kim Khác Đêm]])</f>
        <v>8</v>
      </c>
      <c r="H5743" s="10">
        <v>44743</v>
      </c>
      <c r="I5743" s="10">
        <v>44750</v>
      </c>
      <c r="J5743" s="9">
        <f>36+60+60+48+48+60+12</f>
        <v>324</v>
      </c>
      <c r="K5743" s="9"/>
      <c r="L5743" s="9">
        <f>72+72</f>
        <v>144</v>
      </c>
      <c r="M5743" s="11">
        <f>7+1</f>
        <v>8</v>
      </c>
      <c r="N5743" s="11"/>
      <c r="O5743" s="9"/>
      <c r="P5743" s="9"/>
      <c r="Q5743" s="9"/>
    </row>
    <row r="5744" spans="1:17" ht="14.5" hidden="1" customHeight="1" x14ac:dyDescent="0.35">
      <c r="A5744" s="9" t="s">
        <v>40</v>
      </c>
      <c r="B5744" s="9" t="s">
        <v>1601</v>
      </c>
      <c r="C5744" s="9" t="s">
        <v>28</v>
      </c>
      <c r="D5744" s="9"/>
      <c r="E5744" s="10">
        <v>44741</v>
      </c>
      <c r="F5744" s="100">
        <f>SUM(J5744:L5744)</f>
        <v>204</v>
      </c>
      <c r="G5744" s="100">
        <f>SUM(Table3[[#This Row],[Kim Dệt Ngày]:[Kim Khác Đêm]])</f>
        <v>0</v>
      </c>
      <c r="H5744" s="10">
        <v>44750</v>
      </c>
      <c r="I5744" s="10">
        <v>44760</v>
      </c>
      <c r="J5744" s="9">
        <f>48+60+24</f>
        <v>132</v>
      </c>
      <c r="K5744" s="9"/>
      <c r="L5744" s="9">
        <f>72</f>
        <v>72</v>
      </c>
      <c r="M5744" s="11"/>
      <c r="N5744" s="11"/>
      <c r="O5744" s="9"/>
      <c r="P5744" s="9"/>
      <c r="Q5744" s="9"/>
    </row>
    <row r="5745" spans="1:17" ht="14.5" hidden="1" customHeight="1" x14ac:dyDescent="0.35">
      <c r="A5745" s="9" t="s">
        <v>19</v>
      </c>
      <c r="B5745" s="261" t="s">
        <v>1643</v>
      </c>
      <c r="C5745" s="9" t="s">
        <v>28</v>
      </c>
      <c r="D5745" s="9"/>
      <c r="E5745" s="10">
        <v>44687</v>
      </c>
      <c r="F5745" s="100">
        <f>SUM(J5745:L5745)</f>
        <v>180</v>
      </c>
      <c r="G5745" s="100">
        <f>SUM(Table3[[#This Row],[Kim Dệt Ngày]:[Kim Khác Đêm]])</f>
        <v>0</v>
      </c>
      <c r="H5745" s="10">
        <v>44743</v>
      </c>
      <c r="I5745" s="10">
        <v>44744</v>
      </c>
      <c r="J5745" s="9">
        <f>48+24</f>
        <v>72</v>
      </c>
      <c r="K5745" s="9"/>
      <c r="L5745" s="9">
        <f>108</f>
        <v>108</v>
      </c>
      <c r="M5745" s="11"/>
      <c r="N5745" s="11"/>
      <c r="O5745" s="9"/>
      <c r="P5745" s="9"/>
      <c r="Q5745" s="9"/>
    </row>
    <row r="5746" spans="1:17" ht="14.5" hidden="1" customHeight="1" x14ac:dyDescent="0.35">
      <c r="A5746" s="9" t="s">
        <v>77</v>
      </c>
      <c r="B5746" s="9" t="s">
        <v>1600</v>
      </c>
      <c r="C5746" s="9" t="s">
        <v>28</v>
      </c>
      <c r="D5746" s="9"/>
      <c r="E5746" s="10">
        <v>44734</v>
      </c>
      <c r="F5746" s="100">
        <f>SUM(J5746:L5746)</f>
        <v>912</v>
      </c>
      <c r="G5746" s="100">
        <f>SUM(Table3[[#This Row],[Kim Dệt Ngày]:[Kim Khác Đêm]])</f>
        <v>0</v>
      </c>
      <c r="H5746" s="10">
        <v>44743</v>
      </c>
      <c r="I5746" s="10">
        <v>44749</v>
      </c>
      <c r="J5746" s="9">
        <f>36+84+72+72+60+84</f>
        <v>408</v>
      </c>
      <c r="K5746" s="9"/>
      <c r="L5746" s="9">
        <f>108+84+108+96+108</f>
        <v>504</v>
      </c>
      <c r="M5746" s="11"/>
      <c r="N5746" s="11"/>
      <c r="O5746" s="9"/>
      <c r="P5746" s="9"/>
      <c r="Q5746" s="9"/>
    </row>
    <row r="5747" spans="1:17" ht="14.5" hidden="1" customHeight="1" x14ac:dyDescent="0.35">
      <c r="A5747" s="9" t="s">
        <v>77</v>
      </c>
      <c r="B5747" s="9" t="s">
        <v>1600</v>
      </c>
      <c r="C5747" s="9" t="s">
        <v>39</v>
      </c>
      <c r="D5747" s="9"/>
      <c r="E5747" s="10">
        <v>44734</v>
      </c>
      <c r="F5747" s="100">
        <f>SUM(J5747:L5747)</f>
        <v>792</v>
      </c>
      <c r="G5747" s="100">
        <f>SUM(Table3[[#This Row],[Kim Dệt Ngày]:[Kim Khác Đêm]])</f>
        <v>0</v>
      </c>
      <c r="H5747" s="10">
        <v>44749</v>
      </c>
      <c r="I5747" s="10">
        <v>44755</v>
      </c>
      <c r="J5747" s="9">
        <f>84+72+72+12</f>
        <v>240</v>
      </c>
      <c r="K5747" s="9"/>
      <c r="L5747" s="9">
        <f>96+108+96+84+96+72</f>
        <v>552</v>
      </c>
      <c r="M5747" s="11"/>
      <c r="N5747" s="11"/>
      <c r="O5747" s="9"/>
      <c r="P5747" s="9"/>
      <c r="Q5747" s="9"/>
    </row>
    <row r="5748" spans="1:17" ht="14.5" hidden="1" customHeight="1" x14ac:dyDescent="0.35">
      <c r="A5748" s="9" t="s">
        <v>77</v>
      </c>
      <c r="B5748" s="9" t="s">
        <v>1600</v>
      </c>
      <c r="C5748" s="9" t="s">
        <v>18</v>
      </c>
      <c r="D5748" s="9"/>
      <c r="E5748" s="10">
        <v>44734</v>
      </c>
      <c r="F5748" s="100">
        <f>SUM(J5748:L5748)</f>
        <v>396</v>
      </c>
      <c r="G5748" s="100">
        <f>SUM(Table3[[#This Row],[Kim Dệt Ngày]:[Kim Khác Đêm]])</f>
        <v>0</v>
      </c>
      <c r="H5748" s="10">
        <v>44755</v>
      </c>
      <c r="I5748" s="10">
        <v>44757</v>
      </c>
      <c r="J5748" s="9">
        <f>48+84+84</f>
        <v>216</v>
      </c>
      <c r="K5748" s="9"/>
      <c r="L5748" s="9">
        <f>84+96</f>
        <v>180</v>
      </c>
      <c r="M5748" s="11"/>
      <c r="N5748" s="11"/>
      <c r="O5748" s="9"/>
      <c r="P5748" s="9"/>
      <c r="Q5748" s="9"/>
    </row>
    <row r="5749" spans="1:17" ht="14.5" hidden="1" customHeight="1" x14ac:dyDescent="0.35">
      <c r="A5749" s="9" t="s">
        <v>77</v>
      </c>
      <c r="B5749" s="9" t="s">
        <v>1600</v>
      </c>
      <c r="C5749" s="9" t="s">
        <v>25</v>
      </c>
      <c r="D5749" s="9"/>
      <c r="E5749" s="10">
        <v>44734</v>
      </c>
      <c r="F5749" s="100">
        <f>SUM(J5749:L5749)</f>
        <v>444</v>
      </c>
      <c r="G5749" s="100">
        <f>SUM(Table3[[#This Row],[Kim Dệt Ngày]:[Kim Khác Đêm]])</f>
        <v>0</v>
      </c>
      <c r="H5749" s="10">
        <v>44757</v>
      </c>
      <c r="I5749" s="10">
        <v>44761</v>
      </c>
      <c r="J5749" s="9">
        <f>60+12+12</f>
        <v>84</v>
      </c>
      <c r="K5749" s="9"/>
      <c r="L5749" s="9">
        <f>84+96+72+108</f>
        <v>360</v>
      </c>
      <c r="M5749" s="11"/>
      <c r="N5749" s="11"/>
      <c r="O5749" s="9"/>
      <c r="P5749" s="9"/>
      <c r="Q5749" s="9"/>
    </row>
    <row r="5750" spans="1:17" ht="14.5" hidden="1" customHeight="1" x14ac:dyDescent="0.35">
      <c r="A5750" s="9" t="s">
        <v>77</v>
      </c>
      <c r="B5750" s="9" t="s">
        <v>1600</v>
      </c>
      <c r="C5750" s="9" t="s">
        <v>25</v>
      </c>
      <c r="D5750" s="9"/>
      <c r="E5750" s="10">
        <v>44761</v>
      </c>
      <c r="F5750" s="100">
        <f>SUM(J5750:L5750)</f>
        <v>12</v>
      </c>
      <c r="G5750" s="100">
        <f>SUM(Table3[[#This Row],[Kim Dệt Ngày]:[Kim Khác Đêm]])</f>
        <v>0</v>
      </c>
      <c r="H5750" s="10">
        <v>44762</v>
      </c>
      <c r="I5750" s="10">
        <v>44762</v>
      </c>
      <c r="J5750" s="9">
        <f>12</f>
        <v>12</v>
      </c>
      <c r="K5750" s="9"/>
      <c r="L5750" s="9"/>
      <c r="M5750" s="11"/>
      <c r="N5750" s="11"/>
      <c r="O5750" s="9"/>
      <c r="P5750" s="9"/>
      <c r="Q5750" s="9"/>
    </row>
    <row r="5751" spans="1:17" ht="14.5" hidden="1" customHeight="1" x14ac:dyDescent="0.35">
      <c r="A5751" s="9" t="s">
        <v>77</v>
      </c>
      <c r="B5751" s="9" t="s">
        <v>1600</v>
      </c>
      <c r="C5751" s="9" t="s">
        <v>39</v>
      </c>
      <c r="D5751" s="9"/>
      <c r="E5751" s="10">
        <v>44761</v>
      </c>
      <c r="F5751" s="100">
        <f>SUM(J5751:L5751)</f>
        <v>168</v>
      </c>
      <c r="G5751" s="100">
        <f>SUM(Table3[[#This Row],[Kim Dệt Ngày]:[Kim Khác Đêm]])</f>
        <v>0</v>
      </c>
      <c r="H5751" s="10">
        <v>44762</v>
      </c>
      <c r="I5751" s="10">
        <v>44762</v>
      </c>
      <c r="J5751" s="9">
        <f>60</f>
        <v>60</v>
      </c>
      <c r="K5751" s="9"/>
      <c r="L5751" s="9">
        <f>108</f>
        <v>108</v>
      </c>
      <c r="M5751" s="11"/>
      <c r="N5751" s="11"/>
      <c r="O5751" s="9"/>
      <c r="P5751" s="9"/>
      <c r="Q5751" s="9"/>
    </row>
    <row r="5752" spans="1:17" x14ac:dyDescent="0.35">
      <c r="A5752" s="9" t="s">
        <v>63</v>
      </c>
      <c r="B5752" s="9" t="s">
        <v>2151</v>
      </c>
      <c r="C5752" s="9" t="s">
        <v>2808</v>
      </c>
      <c r="D5752" s="9"/>
      <c r="E5752" s="10">
        <v>44735</v>
      </c>
      <c r="F5752" s="100">
        <f>SUM(J5752:L5752)</f>
        <v>36</v>
      </c>
      <c r="G5752" s="100">
        <f>SUM(Table3[[#This Row],[Kim Dệt Ngày]:[Kim Khác Đêm]])</f>
        <v>0</v>
      </c>
      <c r="H5752" s="10">
        <v>44763</v>
      </c>
      <c r="I5752" s="10"/>
      <c r="J5752" s="9">
        <f>24</f>
        <v>24</v>
      </c>
      <c r="K5752" s="9">
        <f>12</f>
        <v>12</v>
      </c>
      <c r="L5752" s="9"/>
      <c r="M5752" s="11"/>
      <c r="N5752" s="11"/>
      <c r="O5752" s="9"/>
      <c r="P5752" s="9"/>
      <c r="Q5752" s="9"/>
    </row>
    <row r="5753" spans="1:17" ht="14.5" hidden="1" customHeight="1" x14ac:dyDescent="0.35">
      <c r="A5753" s="9" t="s">
        <v>56</v>
      </c>
      <c r="B5753" s="9" t="s">
        <v>2243</v>
      </c>
      <c r="C5753" s="9" t="s">
        <v>28</v>
      </c>
      <c r="D5753" s="9"/>
      <c r="E5753" s="10">
        <v>44741</v>
      </c>
      <c r="F5753" s="100">
        <f>SUM(J5753:L5753)</f>
        <v>444</v>
      </c>
      <c r="G5753" s="100">
        <f>SUM(Table3[[#This Row],[Kim Dệt Ngày]:[Kim Khác Đêm]])</f>
        <v>0</v>
      </c>
      <c r="H5753" s="10">
        <v>44743</v>
      </c>
      <c r="I5753" s="10">
        <v>44749</v>
      </c>
      <c r="J5753" s="9">
        <f>48+48+36+48+36+60</f>
        <v>276</v>
      </c>
      <c r="K5753" s="9"/>
      <c r="L5753" s="9">
        <f>60+72+36</f>
        <v>168</v>
      </c>
      <c r="M5753" s="11"/>
      <c r="N5753" s="11"/>
      <c r="O5753" s="9"/>
      <c r="P5753" s="9"/>
      <c r="Q5753" s="9"/>
    </row>
    <row r="5754" spans="1:17" ht="14.5" hidden="1" customHeight="1" x14ac:dyDescent="0.35">
      <c r="A5754" s="9" t="s">
        <v>57</v>
      </c>
      <c r="B5754" s="9" t="s">
        <v>2243</v>
      </c>
      <c r="C5754" s="9" t="s">
        <v>25</v>
      </c>
      <c r="D5754" s="9"/>
      <c r="E5754" s="10">
        <v>44741</v>
      </c>
      <c r="F5754" s="100">
        <f>SUM(J5754:L5754)</f>
        <v>468</v>
      </c>
      <c r="G5754" s="100">
        <f>SUM(Table3[[#This Row],[Kim Dệt Ngày]:[Kim Khác Đêm]])</f>
        <v>0</v>
      </c>
      <c r="H5754" s="10">
        <v>44743</v>
      </c>
      <c r="I5754" s="10">
        <v>44749</v>
      </c>
      <c r="J5754" s="9">
        <f>48+48+48+60+48+48</f>
        <v>300</v>
      </c>
      <c r="K5754" s="9"/>
      <c r="L5754" s="9">
        <f>72+60+36</f>
        <v>168</v>
      </c>
      <c r="M5754" s="11"/>
      <c r="N5754" s="11"/>
      <c r="O5754" s="9"/>
      <c r="P5754" s="9"/>
      <c r="Q5754" s="9"/>
    </row>
    <row r="5755" spans="1:17" ht="14.5" hidden="1" customHeight="1" x14ac:dyDescent="0.35">
      <c r="A5755" s="9" t="s">
        <v>60</v>
      </c>
      <c r="B5755" s="9" t="s">
        <v>2243</v>
      </c>
      <c r="C5755" s="9" t="s">
        <v>18</v>
      </c>
      <c r="D5755" s="9"/>
      <c r="E5755" s="10">
        <v>44741</v>
      </c>
      <c r="F5755" s="100">
        <f>SUM(J5755:L5755)</f>
        <v>396</v>
      </c>
      <c r="G5755" s="100">
        <f>SUM(Table3[[#This Row],[Kim Dệt Ngày]:[Kim Khác Đêm]])</f>
        <v>0</v>
      </c>
      <c r="H5755" s="10">
        <v>44743</v>
      </c>
      <c r="I5755" s="10">
        <v>44749</v>
      </c>
      <c r="J5755" s="9">
        <f>36+48+48+48+36+60</f>
        <v>276</v>
      </c>
      <c r="K5755" s="9"/>
      <c r="L5755" s="9">
        <f>60+60</f>
        <v>120</v>
      </c>
      <c r="M5755" s="11"/>
      <c r="N5755" s="11"/>
      <c r="O5755" s="9"/>
      <c r="P5755" s="9"/>
      <c r="Q5755" s="9"/>
    </row>
    <row r="5756" spans="1:17" ht="14.5" hidden="1" customHeight="1" x14ac:dyDescent="0.35">
      <c r="A5756" s="9" t="s">
        <v>97</v>
      </c>
      <c r="B5756" s="9" t="s">
        <v>2243</v>
      </c>
      <c r="C5756" s="9" t="s">
        <v>39</v>
      </c>
      <c r="D5756" s="9"/>
      <c r="E5756" s="10">
        <v>44741</v>
      </c>
      <c r="F5756" s="100">
        <f>SUM(J5756:L5756)</f>
        <v>648</v>
      </c>
      <c r="G5756" s="100">
        <f>SUM(Table3[[#This Row],[Kim Dệt Ngày]:[Kim Khác Đêm]])</f>
        <v>0</v>
      </c>
      <c r="H5756" s="10">
        <v>44743</v>
      </c>
      <c r="I5756" s="10">
        <v>44749</v>
      </c>
      <c r="J5756" s="9">
        <f>36+48+36+48+36+48</f>
        <v>252</v>
      </c>
      <c r="K5756" s="9"/>
      <c r="L5756" s="9">
        <f>60+60+48+60+48+60+60</f>
        <v>396</v>
      </c>
      <c r="M5756" s="11"/>
      <c r="N5756" s="11"/>
      <c r="O5756" s="9"/>
      <c r="P5756" s="9"/>
      <c r="Q5756" s="9"/>
    </row>
    <row r="5757" spans="1:17" ht="14.5" hidden="1" customHeight="1" x14ac:dyDescent="0.35">
      <c r="A5757" s="9" t="s">
        <v>101</v>
      </c>
      <c r="B5757" s="9" t="s">
        <v>2243</v>
      </c>
      <c r="C5757" s="9" t="s">
        <v>18</v>
      </c>
      <c r="D5757" s="9"/>
      <c r="E5757" s="10">
        <v>44741</v>
      </c>
      <c r="F5757" s="100">
        <f>SUM(J5757:L5757)</f>
        <v>528</v>
      </c>
      <c r="G5757" s="100">
        <f>SUM(Table3[[#This Row],[Kim Dệt Ngày]:[Kim Khác Đêm]])</f>
        <v>0</v>
      </c>
      <c r="H5757" s="10">
        <v>44743</v>
      </c>
      <c r="I5757" s="10">
        <v>44749</v>
      </c>
      <c r="J5757" s="9">
        <f>48+36+48+36+36+48</f>
        <v>252</v>
      </c>
      <c r="K5757" s="9"/>
      <c r="L5757" s="9">
        <f>60+48+48+60+60</f>
        <v>276</v>
      </c>
      <c r="M5757" s="11"/>
      <c r="N5757" s="11"/>
      <c r="O5757" s="9"/>
      <c r="P5757" s="9"/>
      <c r="Q5757" s="9"/>
    </row>
    <row r="5758" spans="1:17" ht="14.5" hidden="1" customHeight="1" x14ac:dyDescent="0.35">
      <c r="A5758" s="9" t="s">
        <v>101</v>
      </c>
      <c r="B5758" s="9" t="s">
        <v>2243</v>
      </c>
      <c r="C5758" s="9" t="s">
        <v>18</v>
      </c>
      <c r="D5758" s="9"/>
      <c r="E5758" s="10">
        <v>44749</v>
      </c>
      <c r="F5758" s="100">
        <f>SUM(J5758:L5758)</f>
        <v>156</v>
      </c>
      <c r="G5758" s="100">
        <f>SUM(Table3[[#This Row],[Kim Dệt Ngày]:[Kim Khác Đêm]])</f>
        <v>0</v>
      </c>
      <c r="H5758" s="10">
        <v>44750</v>
      </c>
      <c r="I5758" s="10">
        <v>44751</v>
      </c>
      <c r="J5758" s="9">
        <f>48+48</f>
        <v>96</v>
      </c>
      <c r="K5758" s="9"/>
      <c r="L5758" s="9">
        <f>48+12</f>
        <v>60</v>
      </c>
      <c r="M5758" s="11"/>
      <c r="N5758" s="11"/>
      <c r="O5758" s="9"/>
      <c r="P5758" s="9"/>
      <c r="Q5758" s="9"/>
    </row>
    <row r="5759" spans="1:17" ht="14.5" hidden="1" customHeight="1" x14ac:dyDescent="0.35">
      <c r="A5759" s="9" t="s">
        <v>56</v>
      </c>
      <c r="B5759" s="9" t="s">
        <v>2243</v>
      </c>
      <c r="C5759" s="9" t="s">
        <v>28</v>
      </c>
      <c r="D5759" s="9"/>
      <c r="E5759" s="10">
        <v>44749</v>
      </c>
      <c r="F5759" s="100">
        <f>SUM(J5759:L5759)</f>
        <v>372</v>
      </c>
      <c r="G5759" s="100">
        <f>SUM(Table3[[#This Row],[Kim Dệt Ngày]:[Kim Khác Đêm]])</f>
        <v>0</v>
      </c>
      <c r="H5759" s="10">
        <v>44750</v>
      </c>
      <c r="I5759" s="10">
        <v>44754</v>
      </c>
      <c r="J5759" s="9">
        <f>60+36+48+48</f>
        <v>192</v>
      </c>
      <c r="K5759" s="9"/>
      <c r="L5759" s="9">
        <f>60+60+60</f>
        <v>180</v>
      </c>
      <c r="M5759" s="11"/>
      <c r="N5759" s="11"/>
      <c r="O5759" s="9"/>
      <c r="P5759" s="9"/>
      <c r="Q5759" s="9"/>
    </row>
    <row r="5760" spans="1:17" ht="14.5" hidden="1" customHeight="1" x14ac:dyDescent="0.35">
      <c r="A5760" s="9" t="s">
        <v>57</v>
      </c>
      <c r="B5760" s="9" t="s">
        <v>2243</v>
      </c>
      <c r="C5760" s="9" t="s">
        <v>25</v>
      </c>
      <c r="D5760" s="9"/>
      <c r="E5760" s="10">
        <v>44749</v>
      </c>
      <c r="F5760" s="100">
        <f>SUM(J5760:L5760)</f>
        <v>384</v>
      </c>
      <c r="G5760" s="100">
        <f>SUM(Table3[[#This Row],[Kim Dệt Ngày]:[Kim Khác Đêm]])</f>
        <v>0</v>
      </c>
      <c r="H5760" s="10">
        <v>44750</v>
      </c>
      <c r="I5760" s="10">
        <v>44754</v>
      </c>
      <c r="J5760" s="9">
        <f>60+36+48+48</f>
        <v>192</v>
      </c>
      <c r="K5760" s="9"/>
      <c r="L5760" s="9">
        <f>60+60+72</f>
        <v>192</v>
      </c>
      <c r="M5760" s="11"/>
      <c r="N5760" s="11"/>
      <c r="O5760" s="9"/>
      <c r="P5760" s="9"/>
      <c r="Q5760" s="9"/>
    </row>
    <row r="5761" spans="1:17" ht="14.5" hidden="1" customHeight="1" x14ac:dyDescent="0.35">
      <c r="A5761" s="9" t="s">
        <v>60</v>
      </c>
      <c r="B5761" s="9" t="s">
        <v>2243</v>
      </c>
      <c r="C5761" s="9" t="s">
        <v>18</v>
      </c>
      <c r="D5761" s="9"/>
      <c r="E5761" s="10">
        <v>44749</v>
      </c>
      <c r="F5761" s="100">
        <f>SUM(J5761:L5761)</f>
        <v>384</v>
      </c>
      <c r="G5761" s="100">
        <f>SUM(Table3[[#This Row],[Kim Dệt Ngày]:[Kim Khác Đêm]])</f>
        <v>0</v>
      </c>
      <c r="H5761" s="10">
        <v>44750</v>
      </c>
      <c r="I5761" s="10">
        <v>44754</v>
      </c>
      <c r="J5761" s="9">
        <f>60+36+48+60</f>
        <v>204</v>
      </c>
      <c r="K5761" s="9"/>
      <c r="L5761" s="9">
        <f>60+60+60</f>
        <v>180</v>
      </c>
      <c r="M5761" s="11"/>
      <c r="N5761" s="11"/>
      <c r="O5761" s="9"/>
      <c r="P5761" s="9"/>
      <c r="Q5761" s="9"/>
    </row>
    <row r="5762" spans="1:17" ht="14.5" hidden="1" customHeight="1" x14ac:dyDescent="0.35">
      <c r="A5762" s="9" t="s">
        <v>97</v>
      </c>
      <c r="B5762" s="9" t="s">
        <v>2243</v>
      </c>
      <c r="C5762" s="9" t="s">
        <v>39</v>
      </c>
      <c r="D5762" s="9"/>
      <c r="E5762" s="10">
        <v>44749</v>
      </c>
      <c r="F5762" s="100">
        <f>SUM(J5762:L5762)</f>
        <v>372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48+36+48</f>
        <v>132</v>
      </c>
      <c r="K5762" s="9"/>
      <c r="L5762" s="9">
        <f>60+60+36+48+36</f>
        <v>240</v>
      </c>
      <c r="M5762" s="11"/>
      <c r="N5762" s="11"/>
      <c r="O5762" s="9"/>
      <c r="P5762" s="9"/>
      <c r="Q5762" s="9"/>
    </row>
    <row r="5763" spans="1:17" ht="14.5" hidden="1" customHeight="1" x14ac:dyDescent="0.35">
      <c r="A5763" s="9" t="s">
        <v>97</v>
      </c>
      <c r="B5763" s="9" t="s">
        <v>2243</v>
      </c>
      <c r="C5763" s="9" t="s">
        <v>39</v>
      </c>
      <c r="D5763" s="9"/>
      <c r="E5763" s="10">
        <v>44754</v>
      </c>
      <c r="F5763" s="100">
        <f>SUM(J5763:L5763)</f>
        <v>240</v>
      </c>
      <c r="G5763" s="100">
        <f>SUM(Table3[[#This Row],[Kim Dệt Ngày]:[Kim Khác Đêm]])</f>
        <v>0</v>
      </c>
      <c r="H5763" s="10">
        <v>44755</v>
      </c>
      <c r="I5763" s="10">
        <v>44757</v>
      </c>
      <c r="J5763" s="9">
        <f>36+48+48</f>
        <v>132</v>
      </c>
      <c r="K5763" s="9"/>
      <c r="L5763" s="9">
        <f>48+60</f>
        <v>108</v>
      </c>
      <c r="M5763" s="11"/>
      <c r="N5763" s="11"/>
      <c r="O5763" s="9"/>
      <c r="P5763" s="9"/>
      <c r="Q5763" s="9"/>
    </row>
    <row r="5764" spans="1:17" ht="14.5" hidden="1" customHeight="1" x14ac:dyDescent="0.35">
      <c r="A5764" s="9" t="s">
        <v>56</v>
      </c>
      <c r="B5764" s="9" t="s">
        <v>2243</v>
      </c>
      <c r="C5764" s="9" t="s">
        <v>28</v>
      </c>
      <c r="D5764" s="9"/>
      <c r="E5764" s="10">
        <v>44754</v>
      </c>
      <c r="F5764" s="100">
        <f>SUM(J5764:L5764)</f>
        <v>516</v>
      </c>
      <c r="G5764" s="100">
        <f>SUM(Table3[[#This Row],[Kim Dệt Ngày]:[Kim Khác Đêm]])</f>
        <v>0</v>
      </c>
      <c r="H5764" s="10">
        <v>44755</v>
      </c>
      <c r="I5764" s="10">
        <v>44760</v>
      </c>
      <c r="J5764" s="9">
        <f>48+60+60+48+60</f>
        <v>276</v>
      </c>
      <c r="K5764" s="9"/>
      <c r="L5764" s="9">
        <f>60+60+60+60</f>
        <v>240</v>
      </c>
      <c r="M5764" s="11"/>
      <c r="N5764" s="11"/>
      <c r="O5764" s="9"/>
      <c r="P5764" s="9"/>
      <c r="Q5764" s="9"/>
    </row>
    <row r="5765" spans="1:17" ht="14.5" hidden="1" customHeight="1" x14ac:dyDescent="0.35">
      <c r="A5765" s="9" t="s">
        <v>57</v>
      </c>
      <c r="B5765" s="9" t="s">
        <v>2243</v>
      </c>
      <c r="C5765" s="9" t="s">
        <v>25</v>
      </c>
      <c r="D5765" s="9"/>
      <c r="E5765" s="10">
        <v>44754</v>
      </c>
      <c r="F5765" s="100">
        <f>SUM(J5765:L5765)</f>
        <v>552</v>
      </c>
      <c r="G5765" s="100">
        <f>SUM(Table3[[#This Row],[Kim Dệt Ngày]:[Kim Khác Đêm]])</f>
        <v>0</v>
      </c>
      <c r="H5765" s="10">
        <v>44755</v>
      </c>
      <c r="I5765" s="10">
        <v>44760</v>
      </c>
      <c r="J5765" s="9">
        <f>60+60+60+48+60</f>
        <v>288</v>
      </c>
      <c r="K5765" s="9"/>
      <c r="L5765" s="9">
        <f>60+60+72+72</f>
        <v>264</v>
      </c>
      <c r="M5765" s="11"/>
      <c r="N5765" s="11"/>
      <c r="O5765" s="9"/>
      <c r="P5765" s="9"/>
      <c r="Q5765" s="9"/>
    </row>
    <row r="5766" spans="1:17" ht="14.5" hidden="1" customHeight="1" x14ac:dyDescent="0.35">
      <c r="A5766" s="9" t="s">
        <v>60</v>
      </c>
      <c r="B5766" s="9" t="s">
        <v>2243</v>
      </c>
      <c r="C5766" s="9" t="s">
        <v>18</v>
      </c>
      <c r="D5766" s="9"/>
      <c r="E5766" s="10">
        <v>44754</v>
      </c>
      <c r="F5766" s="100">
        <f>SUM(J5766:L5766)</f>
        <v>504</v>
      </c>
      <c r="G5766" s="100">
        <f>SUM(Table3[[#This Row],[Kim Dệt Ngày]:[Kim Khác Đêm]])</f>
        <v>0</v>
      </c>
      <c r="H5766" s="10">
        <v>44755</v>
      </c>
      <c r="I5766" s="10">
        <v>44760</v>
      </c>
      <c r="J5766" s="9">
        <f>48+60+48+48+60</f>
        <v>264</v>
      </c>
      <c r="K5766" s="9"/>
      <c r="L5766" s="9">
        <f>60+60+60+60</f>
        <v>240</v>
      </c>
      <c r="M5766" s="11"/>
      <c r="N5766" s="11"/>
      <c r="O5766" s="9"/>
      <c r="P5766" s="9"/>
      <c r="Q5766" s="9"/>
    </row>
    <row r="5767" spans="1:17" ht="14.5" hidden="1" customHeight="1" x14ac:dyDescent="0.35">
      <c r="A5767" s="9" t="s">
        <v>97</v>
      </c>
      <c r="B5767" s="9" t="s">
        <v>2243</v>
      </c>
      <c r="C5767" s="9" t="s">
        <v>28</v>
      </c>
      <c r="D5767" s="9"/>
      <c r="E5767" s="10">
        <v>44754</v>
      </c>
      <c r="F5767" s="100">
        <f>SUM(J5767:L5767)</f>
        <v>276</v>
      </c>
      <c r="G5767" s="100">
        <f>SUM(Table3[[#This Row],[Kim Dệt Ngày]:[Kim Khác Đêm]])</f>
        <v>0</v>
      </c>
      <c r="H5767" s="10">
        <v>44757</v>
      </c>
      <c r="I5767" s="10">
        <v>44760</v>
      </c>
      <c r="J5767" s="9">
        <f>36+48</f>
        <v>84</v>
      </c>
      <c r="K5767" s="9"/>
      <c r="L5767" s="9">
        <f>36+48+48+60</f>
        <v>192</v>
      </c>
      <c r="M5767" s="11"/>
      <c r="N5767" s="11"/>
      <c r="O5767" s="9"/>
      <c r="P5767" s="9"/>
      <c r="Q5767" s="9"/>
    </row>
    <row r="5768" spans="1:17" x14ac:dyDescent="0.35">
      <c r="A5768" s="9" t="s">
        <v>65</v>
      </c>
      <c r="B5768" s="9" t="s">
        <v>1146</v>
      </c>
      <c r="C5768" s="9" t="s">
        <v>18</v>
      </c>
      <c r="D5768" s="9"/>
      <c r="E5768" s="10">
        <v>44750</v>
      </c>
      <c r="F5768" s="100">
        <f>SUM(J5768:L5768)</f>
        <v>444</v>
      </c>
      <c r="G5768" s="100">
        <f>SUM(Table3[[#This Row],[Kim Dệt Ngày]:[Kim Khác Đêm]])</f>
        <v>0</v>
      </c>
      <c r="H5768" s="10">
        <v>44757</v>
      </c>
      <c r="I5768" s="10"/>
      <c r="J5768" s="9">
        <f>48+60+60+72+48</f>
        <v>288</v>
      </c>
      <c r="K5768" s="9"/>
      <c r="L5768" s="9">
        <f>84+72</f>
        <v>156</v>
      </c>
      <c r="M5768" s="11"/>
      <c r="N5768" s="11"/>
      <c r="O5768" s="9"/>
      <c r="P5768" s="9"/>
      <c r="Q5768" s="9"/>
    </row>
    <row r="5769" spans="1:17" x14ac:dyDescent="0.35">
      <c r="A5769" s="9" t="s">
        <v>66</v>
      </c>
      <c r="B5769" s="9" t="s">
        <v>196</v>
      </c>
      <c r="C5769" s="9" t="s">
        <v>18</v>
      </c>
      <c r="D5769" s="9"/>
      <c r="E5769" s="10">
        <v>44758</v>
      </c>
      <c r="F5769" s="100">
        <f>SUM(J5769:L5769)</f>
        <v>84</v>
      </c>
      <c r="G5769" s="100">
        <f>SUM(Table3[[#This Row],[Kim Dệt Ngày]:[Kim Khác Đêm]])</f>
        <v>0</v>
      </c>
      <c r="H5769" s="10">
        <v>44762</v>
      </c>
      <c r="I5769" s="10"/>
      <c r="J5769" s="9">
        <f>36</f>
        <v>36</v>
      </c>
      <c r="K5769" s="9">
        <f>36+12</f>
        <v>48</v>
      </c>
      <c r="L5769" s="9"/>
      <c r="M5769" s="11"/>
      <c r="N5769" s="11"/>
      <c r="O5769" s="9"/>
      <c r="P5769" s="9"/>
      <c r="Q5769" s="9"/>
    </row>
    <row r="5770" spans="1:17" x14ac:dyDescent="0.35">
      <c r="A5770" s="9" t="s">
        <v>68</v>
      </c>
      <c r="B5770" s="9" t="s">
        <v>424</v>
      </c>
      <c r="C5770" s="9" t="s">
        <v>131</v>
      </c>
      <c r="D5770" s="9"/>
      <c r="E5770" s="10">
        <v>44762</v>
      </c>
      <c r="F5770" s="100">
        <f>SUM(J5770:L5770)</f>
        <v>144</v>
      </c>
      <c r="G5770" s="100">
        <f>SUM(Table3[[#This Row],[Kim Dệt Ngày]:[Kim Khác Đêm]])</f>
        <v>0</v>
      </c>
      <c r="H5770" s="10">
        <v>44763</v>
      </c>
      <c r="I5770" s="10"/>
      <c r="J5770" s="9"/>
      <c r="K5770" s="9">
        <f>24</f>
        <v>24</v>
      </c>
      <c r="L5770" s="9">
        <f>120</f>
        <v>120</v>
      </c>
      <c r="M5770" s="11"/>
      <c r="N5770" s="11"/>
      <c r="O5770" s="9"/>
      <c r="P5770" s="9"/>
      <c r="Q5770" s="9"/>
    </row>
    <row r="5771" spans="1:17" x14ac:dyDescent="0.35">
      <c r="A5771" s="9" t="s">
        <v>70</v>
      </c>
      <c r="B5771" s="9" t="s">
        <v>2806</v>
      </c>
      <c r="C5771" s="9" t="s">
        <v>131</v>
      </c>
      <c r="D5771" s="9"/>
      <c r="E5771" s="10">
        <v>44762</v>
      </c>
      <c r="F5771" s="100">
        <f>SUM(J5771:L5771)</f>
        <v>108</v>
      </c>
      <c r="G5771" s="100">
        <f>SUM(Table3[[#This Row],[Kim Dệt Ngày]:[Kim Khác Đêm]])</f>
        <v>0</v>
      </c>
      <c r="H5771" s="10">
        <v>44763</v>
      </c>
      <c r="I5771" s="10"/>
      <c r="J5771" s="9"/>
      <c r="K5771" s="9"/>
      <c r="L5771" s="9">
        <f>108</f>
        <v>108</v>
      </c>
      <c r="M5771" s="11"/>
      <c r="N5771" s="11"/>
      <c r="O5771" s="9"/>
      <c r="P5771" s="9"/>
      <c r="Q5771" s="9"/>
    </row>
    <row r="5772" spans="1:17" ht="14.5" hidden="1" customHeight="1" x14ac:dyDescent="0.35">
      <c r="A5772" s="9" t="s">
        <v>88</v>
      </c>
      <c r="B5772" s="9" t="s">
        <v>2590</v>
      </c>
      <c r="C5772" s="9" t="s">
        <v>135</v>
      </c>
      <c r="D5772" s="9"/>
      <c r="E5772" s="10">
        <v>44718</v>
      </c>
      <c r="F5772" s="100">
        <f>SUM(J5772:L5772)</f>
        <v>264</v>
      </c>
      <c r="G5772" s="100">
        <f>SUM(Table3[[#This Row],[Kim Dệt Ngày]:[Kim Khác Đêm]])</f>
        <v>0</v>
      </c>
      <c r="H5772" s="10">
        <v>44743</v>
      </c>
      <c r="I5772" s="10">
        <v>44747</v>
      </c>
      <c r="J5772" s="9">
        <f>30+60+70+24</f>
        <v>184</v>
      </c>
      <c r="K5772" s="9"/>
      <c r="L5772" s="9">
        <f>80</f>
        <v>80</v>
      </c>
      <c r="M5772" s="11"/>
      <c r="N5772" s="11"/>
      <c r="O5772" s="9"/>
      <c r="P5772" s="9"/>
      <c r="Q5772" s="9"/>
    </row>
    <row r="5773" spans="1:17" ht="14.5" hidden="1" customHeight="1" x14ac:dyDescent="0.35">
      <c r="A5773" s="9" t="s">
        <v>88</v>
      </c>
      <c r="B5773" s="9" t="s">
        <v>2590</v>
      </c>
      <c r="C5773" s="9" t="s">
        <v>18</v>
      </c>
      <c r="D5773" s="9"/>
      <c r="E5773" s="10">
        <v>44718</v>
      </c>
      <c r="F5773" s="100">
        <f>SUM(J5773:L5773)</f>
        <v>12</v>
      </c>
      <c r="G5773" s="100">
        <f>SUM(Table3[[#This Row],[Kim Dệt Ngày]:[Kim Khác Đêm]])</f>
        <v>0</v>
      </c>
      <c r="H5773" s="10">
        <v>44748</v>
      </c>
      <c r="I5773" s="10">
        <v>44749</v>
      </c>
      <c r="J5773" s="9">
        <f>12</f>
        <v>12</v>
      </c>
      <c r="K5773" s="9"/>
      <c r="L5773" s="9"/>
      <c r="M5773" s="11"/>
      <c r="N5773" s="11"/>
      <c r="O5773" s="9"/>
      <c r="P5773" s="9"/>
      <c r="Q5773" s="9"/>
    </row>
    <row r="5774" spans="1:17" ht="14.5" hidden="1" customHeight="1" x14ac:dyDescent="0.35">
      <c r="A5774" s="9" t="s">
        <v>88</v>
      </c>
      <c r="B5774" s="9" t="s">
        <v>2590</v>
      </c>
      <c r="C5774" s="9" t="s">
        <v>28</v>
      </c>
      <c r="D5774" s="9"/>
      <c r="E5774" s="10">
        <v>44718</v>
      </c>
      <c r="F5774" s="100">
        <f>SUM(J5774:L5774)</f>
        <v>410</v>
      </c>
      <c r="G5774" s="100">
        <f>SUM(Table3[[#This Row],[Kim Dệt Ngày]:[Kim Khác Đêm]])</f>
        <v>0</v>
      </c>
      <c r="H5774" s="10">
        <v>44749</v>
      </c>
      <c r="I5774" s="10">
        <v>44754</v>
      </c>
      <c r="J5774" s="9">
        <f>60+60+30</f>
        <v>150</v>
      </c>
      <c r="K5774" s="9"/>
      <c r="L5774" s="9">
        <f>60+70+70+60</f>
        <v>260</v>
      </c>
      <c r="M5774" s="11"/>
      <c r="N5774" s="11"/>
      <c r="O5774" s="9"/>
      <c r="P5774" s="9"/>
      <c r="Q5774" s="9"/>
    </row>
    <row r="5775" spans="1:17" ht="14.5" hidden="1" customHeight="1" x14ac:dyDescent="0.35">
      <c r="A5775" s="9" t="s">
        <v>88</v>
      </c>
      <c r="B5775" s="9" t="s">
        <v>2590</v>
      </c>
      <c r="C5775" s="9" t="s">
        <v>18</v>
      </c>
      <c r="D5775" s="9"/>
      <c r="E5775" s="10">
        <v>44718</v>
      </c>
      <c r="F5775" s="100">
        <f>SUM(J5775:L5775)</f>
        <v>210</v>
      </c>
      <c r="G5775" s="100">
        <f>SUM(Table3[[#This Row],[Kim Dệt Ngày]:[Kim Khác Đêm]])</f>
        <v>0</v>
      </c>
      <c r="H5775" s="10">
        <v>44755</v>
      </c>
      <c r="I5775" s="10">
        <v>44757</v>
      </c>
      <c r="J5775" s="9">
        <f>10+40+40</f>
        <v>90</v>
      </c>
      <c r="K5775" s="9"/>
      <c r="L5775" s="9">
        <f>40+30+50</f>
        <v>120</v>
      </c>
      <c r="M5775" s="11"/>
      <c r="N5775" s="11"/>
      <c r="O5775" s="9"/>
      <c r="P5775" s="9"/>
      <c r="Q5775" s="9"/>
    </row>
    <row r="5776" spans="1:17" ht="14.5" hidden="1" customHeight="1" x14ac:dyDescent="0.35">
      <c r="A5776" s="9" t="s">
        <v>88</v>
      </c>
      <c r="B5776" s="9" t="s">
        <v>2590</v>
      </c>
      <c r="C5776" s="9" t="s">
        <v>79</v>
      </c>
      <c r="D5776" s="9"/>
      <c r="E5776" s="10">
        <v>44718</v>
      </c>
      <c r="F5776" s="100">
        <f>SUM(J5776:L5776)</f>
        <v>60</v>
      </c>
      <c r="G5776" s="100">
        <f>SUM(Table3[[#This Row],[Kim Dệt Ngày]:[Kim Khác Đêm]])</f>
        <v>0</v>
      </c>
      <c r="H5776" s="10">
        <v>44761</v>
      </c>
      <c r="I5776" s="10">
        <v>44761</v>
      </c>
      <c r="J5776" s="9">
        <f>60</f>
        <v>60</v>
      </c>
      <c r="K5776" s="9"/>
      <c r="L5776" s="9"/>
      <c r="M5776" s="11"/>
      <c r="N5776" s="11"/>
      <c r="O5776" s="9"/>
      <c r="P5776" s="9"/>
      <c r="Q5776" s="9"/>
    </row>
    <row r="5777" spans="1:17" x14ac:dyDescent="0.35">
      <c r="A5777" s="9" t="s">
        <v>71</v>
      </c>
      <c r="B5777" s="150" t="s">
        <v>429</v>
      </c>
      <c r="C5777" s="9" t="s">
        <v>79</v>
      </c>
      <c r="D5777" s="9"/>
      <c r="E5777" s="10">
        <v>44761</v>
      </c>
      <c r="F5777" s="100">
        <f>SUM(J5777:L5777)</f>
        <v>444</v>
      </c>
      <c r="G5777" s="100">
        <f>SUM(Table3[[#This Row],[Kim Dệt Ngày]:[Kim Khác Đêm]])</f>
        <v>0</v>
      </c>
      <c r="H5777" s="10">
        <v>44762</v>
      </c>
      <c r="I5777" s="10"/>
      <c r="J5777" s="9">
        <f>48+108</f>
        <v>156</v>
      </c>
      <c r="K5777" s="9">
        <f>60+12</f>
        <v>72</v>
      </c>
      <c r="L5777" s="9">
        <f>120+96</f>
        <v>216</v>
      </c>
      <c r="M5777" s="11"/>
      <c r="N5777" s="11"/>
      <c r="O5777" s="9"/>
      <c r="P5777" s="9"/>
      <c r="Q5777" s="9"/>
    </row>
    <row r="5778" spans="1:17" ht="14.5" hidden="1" customHeight="1" x14ac:dyDescent="0.35">
      <c r="A5778" s="9" t="s">
        <v>88</v>
      </c>
      <c r="B5778" s="9" t="s">
        <v>1306</v>
      </c>
      <c r="C5778" s="9" t="s">
        <v>28</v>
      </c>
      <c r="D5778" s="9"/>
      <c r="E5778" s="10">
        <v>44757</v>
      </c>
      <c r="F5778" s="100">
        <f>SUM(J5778:L5778)</f>
        <v>160</v>
      </c>
      <c r="G5778" s="100">
        <f>SUM(Table3[[#This Row],[Kim Dệt Ngày]:[Kim Khác Đêm]])</f>
        <v>0</v>
      </c>
      <c r="H5778" s="10">
        <v>44758</v>
      </c>
      <c r="I5778" s="10">
        <v>44760</v>
      </c>
      <c r="J5778" s="9">
        <f>10+70</f>
        <v>80</v>
      </c>
      <c r="K5778" s="9"/>
      <c r="L5778" s="9">
        <f>80</f>
        <v>80</v>
      </c>
      <c r="M5778" s="11"/>
      <c r="N5778" s="11"/>
      <c r="O5778" s="9"/>
      <c r="P5778" s="9"/>
      <c r="Q5778" s="9"/>
    </row>
    <row r="5779" spans="1:17" ht="14.5" hidden="1" customHeight="1" x14ac:dyDescent="0.35">
      <c r="A5779" s="9" t="s">
        <v>102</v>
      </c>
      <c r="B5779" s="9" t="s">
        <v>1306</v>
      </c>
      <c r="C5779" s="9" t="s">
        <v>39</v>
      </c>
      <c r="D5779" s="9"/>
      <c r="E5779" s="10">
        <v>44726</v>
      </c>
      <c r="F5779" s="100">
        <f>SUM(J5779:L5779)</f>
        <v>350</v>
      </c>
      <c r="G5779" s="100">
        <f>SUM(Table3[[#This Row],[Kim Dệt Ngày]:[Kim Khác Đêm]])</f>
        <v>0</v>
      </c>
      <c r="H5779" s="10">
        <v>44758</v>
      </c>
      <c r="I5779" s="10">
        <v>44762</v>
      </c>
      <c r="J5779" s="9">
        <f>30+50+40+30</f>
        <v>150</v>
      </c>
      <c r="K5779" s="9"/>
      <c r="L5779" s="9">
        <f>20+50+20+60+50</f>
        <v>200</v>
      </c>
      <c r="M5779" s="11"/>
      <c r="N5779" s="11"/>
      <c r="O5779" s="9"/>
      <c r="P5779" s="9"/>
      <c r="Q5779" s="9"/>
    </row>
    <row r="5780" spans="1:17" ht="14.5" hidden="1" customHeight="1" x14ac:dyDescent="0.35">
      <c r="A5780" s="9" t="s">
        <v>105</v>
      </c>
      <c r="B5780" s="9" t="s">
        <v>1306</v>
      </c>
      <c r="C5780" s="9" t="s">
        <v>39</v>
      </c>
      <c r="D5780" s="9"/>
      <c r="E5780" s="10">
        <v>44726</v>
      </c>
      <c r="F5780" s="100">
        <f>SUM(J5780:L5780)</f>
        <v>140</v>
      </c>
      <c r="G5780" s="100">
        <f>SUM(Table3[[#This Row],[Kim Dệt Ngày]:[Kim Khác Đêm]])</f>
        <v>0</v>
      </c>
      <c r="H5780" s="10">
        <v>44760</v>
      </c>
      <c r="I5780" s="10">
        <v>44762</v>
      </c>
      <c r="J5780" s="9">
        <f>10+40+30</f>
        <v>80</v>
      </c>
      <c r="K5780" s="9"/>
      <c r="L5780" s="9">
        <f>30+30</f>
        <v>60</v>
      </c>
      <c r="M5780" s="11"/>
      <c r="N5780" s="11"/>
      <c r="O5780" s="9"/>
      <c r="P5780" s="9"/>
      <c r="Q5780" s="9"/>
    </row>
    <row r="5781" spans="1:17" ht="14.5" hidden="1" customHeight="1" x14ac:dyDescent="0.35">
      <c r="A5781" s="9" t="s">
        <v>72</v>
      </c>
      <c r="B5781" s="9" t="s">
        <v>239</v>
      </c>
      <c r="C5781" s="9" t="s">
        <v>25</v>
      </c>
      <c r="D5781" s="9"/>
      <c r="E5781" s="10">
        <v>44718</v>
      </c>
      <c r="F5781" s="100">
        <f>SUM(J5781:L5781)</f>
        <v>552</v>
      </c>
      <c r="G5781" s="100">
        <f>SUM(Table3[[#This Row],[Kim Dệt Ngày]:[Kim Khác Đêm]])</f>
        <v>0</v>
      </c>
      <c r="H5781" s="10">
        <v>44743</v>
      </c>
      <c r="I5781" s="10">
        <v>44749</v>
      </c>
      <c r="J5781" s="9">
        <f>48+36+36+36+36+36</f>
        <v>228</v>
      </c>
      <c r="K5781" s="9"/>
      <c r="L5781" s="9">
        <f>48+60+48+60+48+60</f>
        <v>324</v>
      </c>
      <c r="M5781" s="11"/>
      <c r="N5781" s="11"/>
      <c r="O5781" s="9"/>
      <c r="P5781" s="9"/>
      <c r="Q5781" s="9"/>
    </row>
    <row r="5782" spans="1:17" ht="14.5" hidden="1" customHeight="1" x14ac:dyDescent="0.35">
      <c r="A5782" s="9" t="s">
        <v>72</v>
      </c>
      <c r="B5782" s="9" t="s">
        <v>239</v>
      </c>
      <c r="C5782" s="9" t="s">
        <v>18</v>
      </c>
      <c r="D5782" s="9"/>
      <c r="E5782" s="10">
        <v>44718</v>
      </c>
      <c r="F5782" s="100">
        <f>SUM(J5782:L5782)</f>
        <v>300</v>
      </c>
      <c r="G5782" s="100">
        <f>SUM(Table3[[#This Row],[Kim Dệt Ngày]:[Kim Khác Đêm]])</f>
        <v>0</v>
      </c>
      <c r="H5782" s="10">
        <v>44749</v>
      </c>
      <c r="I5782" s="10">
        <v>44753</v>
      </c>
      <c r="J5782" s="9">
        <f>48+48+12</f>
        <v>108</v>
      </c>
      <c r="K5782" s="9"/>
      <c r="L5782" s="9">
        <f>48+48+48+48</f>
        <v>192</v>
      </c>
      <c r="M5782" s="11"/>
      <c r="N5782" s="11"/>
      <c r="O5782" s="9"/>
      <c r="P5782" s="9"/>
      <c r="Q5782" s="9"/>
    </row>
    <row r="5783" spans="1:17" ht="14.5" hidden="1" customHeight="1" x14ac:dyDescent="0.35">
      <c r="A5783" s="9" t="s">
        <v>72</v>
      </c>
      <c r="B5783" s="9" t="s">
        <v>239</v>
      </c>
      <c r="C5783" s="9" t="s">
        <v>39</v>
      </c>
      <c r="D5783" s="9"/>
      <c r="E5783" s="10">
        <v>44718</v>
      </c>
      <c r="F5783" s="100">
        <f>SUM(J5783:L5783)</f>
        <v>120</v>
      </c>
      <c r="G5783" s="100">
        <f>SUM(Table3[[#This Row],[Kim Dệt Ngày]:[Kim Khác Đêm]])</f>
        <v>0</v>
      </c>
      <c r="H5783" s="10">
        <v>44753</v>
      </c>
      <c r="I5783" s="10">
        <v>44755</v>
      </c>
      <c r="J5783" s="9">
        <f>24+12</f>
        <v>36</v>
      </c>
      <c r="K5783" s="9"/>
      <c r="L5783" s="9">
        <f>48+36</f>
        <v>84</v>
      </c>
      <c r="M5783" s="11"/>
      <c r="N5783" s="11"/>
      <c r="O5783" s="9"/>
      <c r="P5783" s="9"/>
      <c r="Q5783" s="9"/>
    </row>
    <row r="5784" spans="1:17" ht="14.5" hidden="1" customHeight="1" x14ac:dyDescent="0.35">
      <c r="A5784" s="9" t="s">
        <v>72</v>
      </c>
      <c r="B5784" s="9" t="s">
        <v>239</v>
      </c>
      <c r="C5784" s="9" t="s">
        <v>28</v>
      </c>
      <c r="D5784" s="9"/>
      <c r="E5784" s="10">
        <v>44718</v>
      </c>
      <c r="F5784" s="100">
        <f>SUM(J5784:L5784)</f>
        <v>216</v>
      </c>
      <c r="G5784" s="100">
        <f>SUM(Table3[[#This Row],[Kim Dệt Ngày]:[Kim Khác Đêm]])</f>
        <v>0</v>
      </c>
      <c r="H5784" s="10">
        <v>44755</v>
      </c>
      <c r="I5784" s="10">
        <v>44757</v>
      </c>
      <c r="J5784" s="9">
        <f>24+36+36</f>
        <v>96</v>
      </c>
      <c r="K5784" s="9"/>
      <c r="L5784" s="9">
        <f>36+36+48</f>
        <v>120</v>
      </c>
      <c r="M5784" s="11"/>
      <c r="N5784" s="11"/>
      <c r="O5784" s="9"/>
      <c r="P5784" s="9"/>
      <c r="Q5784" s="9"/>
    </row>
    <row r="5785" spans="1:17" ht="14.5" hidden="1" customHeight="1" x14ac:dyDescent="0.35">
      <c r="A5785" s="9" t="s">
        <v>29</v>
      </c>
      <c r="B5785" s="9" t="s">
        <v>27</v>
      </c>
      <c r="C5785" s="9" t="s">
        <v>28</v>
      </c>
      <c r="D5785" s="9"/>
      <c r="E5785" s="10">
        <v>44742</v>
      </c>
      <c r="F5785" s="100">
        <f>SUM(J5785:L5785)</f>
        <v>576</v>
      </c>
      <c r="G5785" s="100">
        <f>SUM(Table3[[#This Row],[Kim Dệt Ngày]:[Kim Khác Đêm]])</f>
        <v>0</v>
      </c>
      <c r="H5785" s="10">
        <v>44743</v>
      </c>
      <c r="I5785" s="10">
        <v>44749</v>
      </c>
      <c r="J5785" s="9">
        <f>72+84+60+72+48+60</f>
        <v>396</v>
      </c>
      <c r="K5785" s="9"/>
      <c r="L5785" s="9">
        <f>84+96</f>
        <v>180</v>
      </c>
      <c r="M5785" s="11"/>
      <c r="N5785" s="11"/>
      <c r="O5785" s="9"/>
      <c r="P5785" s="9"/>
      <c r="Q5785" s="9"/>
    </row>
    <row r="5786" spans="1:17" ht="14.5" hidden="1" customHeight="1" x14ac:dyDescent="0.35">
      <c r="A5786" s="9" t="s">
        <v>29</v>
      </c>
      <c r="B5786" s="9" t="s">
        <v>27</v>
      </c>
      <c r="C5786" s="9" t="s">
        <v>39</v>
      </c>
      <c r="D5786" s="9"/>
      <c r="E5786" s="10">
        <v>44742</v>
      </c>
      <c r="F5786" s="100">
        <f>SUM(J5786:L5786)</f>
        <v>300</v>
      </c>
      <c r="G5786" s="100">
        <f>SUM(Table3[[#This Row],[Kim Dệt Ngày]:[Kim Khác Đêm]])</f>
        <v>3</v>
      </c>
      <c r="H5786" s="10">
        <v>44749</v>
      </c>
      <c r="I5786" s="10">
        <v>44753</v>
      </c>
      <c r="J5786" s="9">
        <f>24+84+72+24</f>
        <v>204</v>
      </c>
      <c r="K5786" s="9"/>
      <c r="L5786" s="9">
        <f>96</f>
        <v>96</v>
      </c>
      <c r="M5786" s="11"/>
      <c r="N5786" s="11">
        <f>3</f>
        <v>3</v>
      </c>
      <c r="O5786" s="9"/>
      <c r="P5786" s="9"/>
      <c r="Q5786" s="9"/>
    </row>
    <row r="5787" spans="1:17" ht="14.5" hidden="1" customHeight="1" x14ac:dyDescent="0.35">
      <c r="A5787" s="9" t="s">
        <v>29</v>
      </c>
      <c r="B5787" s="9" t="s">
        <v>27</v>
      </c>
      <c r="C5787" s="9" t="s">
        <v>25</v>
      </c>
      <c r="D5787" s="9"/>
      <c r="E5787" s="10">
        <v>44742</v>
      </c>
      <c r="F5787" s="100">
        <f>SUM(J5787:L5787)</f>
        <v>444</v>
      </c>
      <c r="G5787" s="100">
        <f>SUM(Table3[[#This Row],[Kim Dệt Ngày]:[Kim Khác Đêm]])</f>
        <v>0</v>
      </c>
      <c r="H5787" s="10">
        <v>44754</v>
      </c>
      <c r="I5787" s="10">
        <v>44756</v>
      </c>
      <c r="J5787" s="9">
        <f>84+96</f>
        <v>180</v>
      </c>
      <c r="K5787" s="9"/>
      <c r="L5787" s="9">
        <f>84+84+96</f>
        <v>264</v>
      </c>
      <c r="M5787" s="11"/>
      <c r="N5787" s="11"/>
      <c r="O5787" s="9"/>
      <c r="P5787" s="9"/>
      <c r="Q5787" s="9"/>
    </row>
    <row r="5788" spans="1:17" ht="14.5" hidden="1" customHeight="1" x14ac:dyDescent="0.35">
      <c r="A5788" s="9" t="s">
        <v>29</v>
      </c>
      <c r="B5788" s="9" t="s">
        <v>27</v>
      </c>
      <c r="C5788" s="9" t="s">
        <v>18</v>
      </c>
      <c r="D5788" s="9"/>
      <c r="E5788" s="10">
        <v>44742</v>
      </c>
      <c r="F5788" s="100">
        <f>SUM(J5788:L5788)</f>
        <v>240</v>
      </c>
      <c r="G5788" s="100">
        <f>SUM(Table3[[#This Row],[Kim Dệt Ngày]:[Kim Khác Đêm]])</f>
        <v>0</v>
      </c>
      <c r="H5788" s="10">
        <v>44753</v>
      </c>
      <c r="I5788" s="10">
        <v>44754</v>
      </c>
      <c r="J5788" s="9">
        <f>48+84</f>
        <v>132</v>
      </c>
      <c r="K5788" s="9"/>
      <c r="L5788" s="9">
        <f>96+12</f>
        <v>108</v>
      </c>
      <c r="M5788" s="11"/>
      <c r="N5788" s="11"/>
      <c r="O5788" s="9"/>
      <c r="P5788" s="9"/>
      <c r="Q5788" s="9"/>
    </row>
    <row r="5789" spans="1:17" ht="14.5" hidden="1" customHeight="1" x14ac:dyDescent="0.35">
      <c r="A5789" s="9" t="s">
        <v>37</v>
      </c>
      <c r="B5789" s="9" t="s">
        <v>30</v>
      </c>
      <c r="C5789" s="9" t="s">
        <v>18</v>
      </c>
      <c r="D5789" s="9"/>
      <c r="E5789" s="10">
        <v>44738</v>
      </c>
      <c r="F5789" s="100">
        <f>SUM(J5789:L5789)</f>
        <v>216</v>
      </c>
      <c r="G5789" s="100">
        <f>SUM(Table3[[#This Row],[Kim Dệt Ngày]:[Kim Khác Đêm]])</f>
        <v>98</v>
      </c>
      <c r="H5789" s="10">
        <v>44743</v>
      </c>
      <c r="I5789" s="10">
        <v>44749</v>
      </c>
      <c r="J5789" s="9">
        <f>36+24+72+84</f>
        <v>216</v>
      </c>
      <c r="K5789" s="9"/>
      <c r="L5789" s="9"/>
      <c r="M5789" s="11">
        <f>98</f>
        <v>98</v>
      </c>
      <c r="N5789" s="11"/>
      <c r="O5789" s="9"/>
      <c r="P5789" s="9"/>
      <c r="Q5789" s="9"/>
    </row>
    <row r="5790" spans="1:17" ht="14.5" hidden="1" customHeight="1" x14ac:dyDescent="0.35">
      <c r="A5790" s="9" t="s">
        <v>58</v>
      </c>
      <c r="B5790" s="9" t="s">
        <v>30</v>
      </c>
      <c r="C5790" s="9" t="s">
        <v>25</v>
      </c>
      <c r="D5790" s="9"/>
      <c r="E5790" s="10">
        <v>44738</v>
      </c>
      <c r="F5790" s="100">
        <f>SUM(J5790:L5790)</f>
        <v>420</v>
      </c>
      <c r="G5790" s="100">
        <f>SUM(Table3[[#This Row],[Kim Dệt Ngày]:[Kim Khác Đêm]])</f>
        <v>3</v>
      </c>
      <c r="H5790" s="10">
        <v>44743</v>
      </c>
      <c r="I5790" s="10">
        <v>44749</v>
      </c>
      <c r="J5790" s="9">
        <f>48+48+36+48+48+48</f>
        <v>276</v>
      </c>
      <c r="K5790" s="9"/>
      <c r="L5790" s="9">
        <f>60+60+24</f>
        <v>144</v>
      </c>
      <c r="M5790" s="11">
        <f>3</f>
        <v>3</v>
      </c>
      <c r="N5790" s="11"/>
      <c r="O5790" s="9"/>
      <c r="P5790" s="9"/>
      <c r="Q5790" s="9"/>
    </row>
    <row r="5791" spans="1:17" ht="14.5" hidden="1" customHeight="1" x14ac:dyDescent="0.35">
      <c r="A5791" s="9" t="s">
        <v>37</v>
      </c>
      <c r="B5791" s="150" t="s">
        <v>30</v>
      </c>
      <c r="C5791" s="9" t="s">
        <v>18</v>
      </c>
      <c r="D5791" s="9"/>
      <c r="E5791" s="10">
        <v>44749</v>
      </c>
      <c r="F5791" s="100">
        <f>SUM(J5791:L5791)</f>
        <v>444</v>
      </c>
      <c r="G5791" s="100">
        <f>SUM(Table3[[#This Row],[Kim Dệt Ngày]:[Kim Khác Đêm]])</f>
        <v>0</v>
      </c>
      <c r="H5791" s="10">
        <v>44750</v>
      </c>
      <c r="I5791" s="10">
        <v>44754</v>
      </c>
      <c r="J5791" s="9">
        <f>48+72+72+84</f>
        <v>276</v>
      </c>
      <c r="K5791" s="9"/>
      <c r="L5791" s="9">
        <f>84+84</f>
        <v>168</v>
      </c>
      <c r="M5791" s="11"/>
      <c r="N5791" s="11"/>
      <c r="O5791" s="9"/>
      <c r="P5791" s="9"/>
      <c r="Q5791" s="9"/>
    </row>
    <row r="5792" spans="1:17" ht="14.5" hidden="1" customHeight="1" x14ac:dyDescent="0.35">
      <c r="A5792" s="9" t="s">
        <v>58</v>
      </c>
      <c r="B5792" s="9" t="s">
        <v>30</v>
      </c>
      <c r="C5792" s="9" t="s">
        <v>25</v>
      </c>
      <c r="D5792" s="9"/>
      <c r="E5792" s="10">
        <v>44749</v>
      </c>
      <c r="F5792" s="100">
        <f>SUM(J5792:L5792)</f>
        <v>312</v>
      </c>
      <c r="G5792" s="100">
        <f>SUM(Table3[[#This Row],[Kim Dệt Ngày]:[Kim Khác Đêm]])</f>
        <v>0</v>
      </c>
      <c r="H5792" s="10">
        <v>44750</v>
      </c>
      <c r="I5792" s="10">
        <v>44754</v>
      </c>
      <c r="J5792" s="9">
        <f>48+36+60+48</f>
        <v>192</v>
      </c>
      <c r="K5792" s="9"/>
      <c r="L5792" s="9">
        <f>48+60+12</f>
        <v>120</v>
      </c>
      <c r="M5792" s="11"/>
      <c r="N5792" s="11"/>
      <c r="O5792" s="9"/>
      <c r="P5792" s="9"/>
      <c r="Q5792" s="9"/>
    </row>
    <row r="5793" spans="1:17" ht="14.5" hidden="1" customHeight="1" x14ac:dyDescent="0.35">
      <c r="A5793" s="9" t="s">
        <v>37</v>
      </c>
      <c r="B5793" s="9" t="s">
        <v>30</v>
      </c>
      <c r="C5793" s="9" t="s">
        <v>39</v>
      </c>
      <c r="D5793" s="9"/>
      <c r="E5793" s="10">
        <v>44756</v>
      </c>
      <c r="F5793" s="100">
        <f>SUM(J5793:L5793)</f>
        <v>648</v>
      </c>
      <c r="G5793" s="100">
        <f>SUM(Table3[[#This Row],[Kim Dệt Ngày]:[Kim Khác Đêm]])</f>
        <v>0</v>
      </c>
      <c r="H5793" s="10">
        <v>44757</v>
      </c>
      <c r="I5793" s="10">
        <v>44763</v>
      </c>
      <c r="J5793" s="9">
        <f>72+72+72+72+60+24</f>
        <v>372</v>
      </c>
      <c r="K5793" s="9">
        <f>48+48</f>
        <v>96</v>
      </c>
      <c r="L5793" s="9">
        <f>96+84</f>
        <v>180</v>
      </c>
      <c r="M5793" s="11"/>
      <c r="N5793" s="11"/>
      <c r="O5793" s="9"/>
      <c r="P5793" s="9"/>
      <c r="Q5793" s="9"/>
    </row>
    <row r="5794" spans="1:17" ht="14.5" hidden="1" customHeight="1" x14ac:dyDescent="0.35">
      <c r="A5794" s="9" t="s">
        <v>37</v>
      </c>
      <c r="B5794" s="9" t="s">
        <v>30</v>
      </c>
      <c r="C5794" s="9" t="s">
        <v>39</v>
      </c>
      <c r="D5794" s="9"/>
      <c r="E5794" s="10">
        <v>44749</v>
      </c>
      <c r="F5794" s="100">
        <f>SUM(J5794:L5794)</f>
        <v>396</v>
      </c>
      <c r="G5794" s="100">
        <f>SUM(Table3[[#This Row],[Kim Dệt Ngày]:[Kim Khác Đêm]])</f>
        <v>0</v>
      </c>
      <c r="H5794" s="10">
        <v>44754</v>
      </c>
      <c r="I5794" s="10">
        <v>44756</v>
      </c>
      <c r="J5794" s="9">
        <f>72+72</f>
        <v>144</v>
      </c>
      <c r="K5794" s="9"/>
      <c r="L5794" s="9">
        <f>72+96+84</f>
        <v>252</v>
      </c>
      <c r="M5794" s="11"/>
      <c r="N5794" s="11"/>
      <c r="O5794" s="9"/>
      <c r="P5794" s="9"/>
      <c r="Q5794" s="9"/>
    </row>
    <row r="5795" spans="1:17" ht="14.5" hidden="1" customHeight="1" x14ac:dyDescent="0.35">
      <c r="A5795" s="9" t="s">
        <v>58</v>
      </c>
      <c r="B5795" s="9" t="s">
        <v>30</v>
      </c>
      <c r="C5795" s="9" t="s">
        <v>28</v>
      </c>
      <c r="D5795" s="9"/>
      <c r="E5795" s="10">
        <v>44749</v>
      </c>
      <c r="F5795" s="100">
        <f>SUM(J5795:L5795)</f>
        <v>288</v>
      </c>
      <c r="G5795" s="100">
        <f>SUM(Table3[[#This Row],[Kim Dệt Ngày]:[Kim Khác Đêm]])</f>
        <v>0</v>
      </c>
      <c r="H5795" s="10">
        <v>44754</v>
      </c>
      <c r="I5795" s="10">
        <v>44756</v>
      </c>
      <c r="J5795" s="9">
        <f>60+48</f>
        <v>108</v>
      </c>
      <c r="K5795" s="9"/>
      <c r="L5795" s="9">
        <f>60+60+60</f>
        <v>180</v>
      </c>
      <c r="M5795" s="11"/>
      <c r="N5795" s="11"/>
      <c r="O5795" s="9"/>
      <c r="P5795" s="9"/>
      <c r="Q5795" s="9"/>
    </row>
    <row r="5796" spans="1:17" ht="14.5" hidden="1" customHeight="1" x14ac:dyDescent="0.35">
      <c r="A5796" s="9" t="s">
        <v>58</v>
      </c>
      <c r="B5796" s="150" t="s">
        <v>30</v>
      </c>
      <c r="C5796" s="9" t="s">
        <v>28</v>
      </c>
      <c r="D5796" s="9"/>
      <c r="E5796" s="10">
        <v>44756</v>
      </c>
      <c r="F5796" s="100">
        <f>SUM(J5796:L5796)</f>
        <v>264</v>
      </c>
      <c r="G5796" s="100">
        <f>SUM(Table3[[#This Row],[Kim Dệt Ngày]:[Kim Khác Đêm]])</f>
        <v>0</v>
      </c>
      <c r="H5796" s="10">
        <v>44757</v>
      </c>
      <c r="I5796" s="10">
        <v>44760</v>
      </c>
      <c r="J5796" s="9">
        <f>60+48+24</f>
        <v>132</v>
      </c>
      <c r="K5796" s="9"/>
      <c r="L5796" s="9">
        <f>72+60</f>
        <v>132</v>
      </c>
      <c r="M5796" s="11"/>
      <c r="N5796" s="11"/>
      <c r="O5796" s="9"/>
      <c r="P5796" s="9"/>
      <c r="Q5796" s="9"/>
    </row>
    <row r="5797" spans="1:17" x14ac:dyDescent="0.35">
      <c r="A5797" s="9" t="s">
        <v>72</v>
      </c>
      <c r="B5797" s="9" t="s">
        <v>2787</v>
      </c>
      <c r="C5797" s="9" t="s">
        <v>25</v>
      </c>
      <c r="D5797" s="9"/>
      <c r="E5797" s="10">
        <v>44757</v>
      </c>
      <c r="F5797" s="100">
        <f>SUM(J5797:L5797)</f>
        <v>84</v>
      </c>
      <c r="G5797" s="100">
        <f>SUM(Table3[[#This Row],[Kim Dệt Ngày]:[Kim Khác Đêm]])</f>
        <v>0</v>
      </c>
      <c r="H5797" s="10">
        <v>44763</v>
      </c>
      <c r="I5797" s="10"/>
      <c r="J5797" s="9">
        <f>24</f>
        <v>24</v>
      </c>
      <c r="K5797" s="9"/>
      <c r="L5797" s="9">
        <f>60</f>
        <v>60</v>
      </c>
      <c r="M5797" s="11"/>
      <c r="N5797" s="11"/>
      <c r="O5797" s="9"/>
      <c r="P5797" s="9"/>
      <c r="Q5797" s="9"/>
    </row>
    <row r="5798" spans="1:17" x14ac:dyDescent="0.35">
      <c r="A5798" s="9" t="s">
        <v>74</v>
      </c>
      <c r="B5798" s="9" t="s">
        <v>1413</v>
      </c>
      <c r="C5798" s="9" t="s">
        <v>18</v>
      </c>
      <c r="D5798" s="9"/>
      <c r="E5798" s="10">
        <v>44753</v>
      </c>
      <c r="F5798" s="100">
        <f>SUM(J5798:L5798)</f>
        <v>180</v>
      </c>
      <c r="G5798" s="100">
        <f>SUM(Table3[[#This Row],[Kim Dệt Ngày]:[Kim Khác Đêm]])</f>
        <v>0</v>
      </c>
      <c r="H5798" s="10">
        <v>44762</v>
      </c>
      <c r="I5798" s="10"/>
      <c r="J5798" s="9">
        <f>36+36</f>
        <v>72</v>
      </c>
      <c r="K5798" s="9"/>
      <c r="L5798" s="9">
        <f>48+60</f>
        <v>108</v>
      </c>
      <c r="M5798" s="11"/>
      <c r="N5798" s="11"/>
      <c r="O5798" s="9"/>
      <c r="P5798" s="9"/>
      <c r="Q5798" s="9"/>
    </row>
    <row r="5799" spans="1:17" ht="14.5" hidden="1" customHeight="1" x14ac:dyDescent="0.35">
      <c r="A5799" s="9" t="s">
        <v>78</v>
      </c>
      <c r="B5799" s="9" t="s">
        <v>1336</v>
      </c>
      <c r="C5799" s="9" t="s">
        <v>25</v>
      </c>
      <c r="D5799" s="9"/>
      <c r="E5799" s="10">
        <v>44739</v>
      </c>
      <c r="F5799" s="100">
        <f>SUM(J5799:L5799)</f>
        <v>12</v>
      </c>
      <c r="G5799" s="100">
        <f>SUM(Table3[[#This Row],[Kim Dệt Ngày]:[Kim Khác Đêm]])</f>
        <v>0</v>
      </c>
      <c r="H5799" s="10">
        <v>44743</v>
      </c>
      <c r="I5799" s="10">
        <v>44743</v>
      </c>
      <c r="J5799" s="9">
        <f>12</f>
        <v>12</v>
      </c>
      <c r="K5799" s="9"/>
      <c r="L5799" s="9"/>
      <c r="M5799" s="11"/>
      <c r="N5799" s="11"/>
      <c r="O5799" s="9"/>
      <c r="P5799" s="9"/>
      <c r="Q5799" s="9"/>
    </row>
    <row r="5800" spans="1:17" ht="14.5" hidden="1" customHeight="1" x14ac:dyDescent="0.35">
      <c r="A5800" s="9" t="s">
        <v>78</v>
      </c>
      <c r="B5800" s="9" t="s">
        <v>1336</v>
      </c>
      <c r="C5800" s="9" t="s">
        <v>18</v>
      </c>
      <c r="D5800" s="9"/>
      <c r="E5800" s="10">
        <v>44739</v>
      </c>
      <c r="F5800" s="100">
        <f>SUM(J5800:L5800)</f>
        <v>1092</v>
      </c>
      <c r="G5800" s="100">
        <f>SUM(Table3[[#This Row],[Kim Dệt Ngày]:[Kim Khác Đêm]])</f>
        <v>0</v>
      </c>
      <c r="H5800" s="10">
        <v>44743</v>
      </c>
      <c r="I5800" s="10">
        <v>44750</v>
      </c>
      <c r="J5800" s="9">
        <f>60+84+72+84+60+84+12</f>
        <v>456</v>
      </c>
      <c r="K5800" s="9"/>
      <c r="L5800" s="9">
        <f>96+72+96+72+96+108+96</f>
        <v>636</v>
      </c>
      <c r="M5800" s="11"/>
      <c r="N5800" s="11"/>
      <c r="O5800" s="9"/>
      <c r="P5800" s="9"/>
      <c r="Q5800" s="9"/>
    </row>
    <row r="5801" spans="1:17" ht="14.5" hidden="1" customHeight="1" x14ac:dyDescent="0.35">
      <c r="A5801" s="9" t="s">
        <v>78</v>
      </c>
      <c r="B5801" s="9" t="s">
        <v>1336</v>
      </c>
      <c r="C5801" s="9" t="s">
        <v>39</v>
      </c>
      <c r="D5801" s="9"/>
      <c r="E5801" s="10">
        <v>44739</v>
      </c>
      <c r="F5801" s="100">
        <f>SUM(J5801:L5801)</f>
        <v>168</v>
      </c>
      <c r="G5801" s="100">
        <f>SUM(Table3[[#This Row],[Kim Dệt Ngày]:[Kim Khác Đêm]])</f>
        <v>0</v>
      </c>
      <c r="H5801" s="10">
        <v>44750</v>
      </c>
      <c r="I5801" s="10">
        <v>44750</v>
      </c>
      <c r="J5801" s="9">
        <f>60</f>
        <v>60</v>
      </c>
      <c r="K5801" s="9"/>
      <c r="L5801" s="9">
        <f>108</f>
        <v>108</v>
      </c>
      <c r="M5801" s="11"/>
      <c r="N5801" s="11"/>
      <c r="O5801" s="9"/>
      <c r="P5801" s="9"/>
      <c r="Q5801" s="9"/>
    </row>
    <row r="5802" spans="1:17" ht="14.5" hidden="1" customHeight="1" x14ac:dyDescent="0.35">
      <c r="A5802" s="9" t="s">
        <v>78</v>
      </c>
      <c r="B5802" s="9" t="s">
        <v>1336</v>
      </c>
      <c r="C5802" s="9" t="s">
        <v>39</v>
      </c>
      <c r="D5802" s="9"/>
      <c r="E5802" s="10">
        <v>44750</v>
      </c>
      <c r="F5802" s="100">
        <f>SUM(J5802:L5802)</f>
        <v>276</v>
      </c>
      <c r="G5802" s="100">
        <f>SUM(Table3[[#This Row],[Kim Dệt Ngày]:[Kim Khác Đêm]])</f>
        <v>0</v>
      </c>
      <c r="H5802" s="10">
        <v>44751</v>
      </c>
      <c r="I5802" s="10">
        <v>44753</v>
      </c>
      <c r="J5802" s="9">
        <f>72+24</f>
        <v>96</v>
      </c>
      <c r="K5802" s="9"/>
      <c r="L5802" s="9">
        <f>96+84</f>
        <v>180</v>
      </c>
      <c r="M5802" s="11"/>
      <c r="N5802" s="11"/>
      <c r="O5802" s="9"/>
      <c r="P5802" s="9"/>
      <c r="Q5802" s="9"/>
    </row>
    <row r="5803" spans="1:17" ht="14.5" hidden="1" customHeight="1" x14ac:dyDescent="0.35">
      <c r="A5803" s="9" t="s">
        <v>78</v>
      </c>
      <c r="B5803" s="9" t="s">
        <v>1336</v>
      </c>
      <c r="C5803" s="9" t="s">
        <v>25</v>
      </c>
      <c r="D5803" s="9"/>
      <c r="E5803" s="10">
        <v>44750</v>
      </c>
      <c r="F5803" s="100">
        <f>SUM(J5803:L5803)</f>
        <v>420</v>
      </c>
      <c r="G5803" s="100">
        <f>SUM(Table3[[#This Row],[Kim Dệt Ngày]:[Kim Khác Đêm]])</f>
        <v>0</v>
      </c>
      <c r="H5803" s="10">
        <v>44753</v>
      </c>
      <c r="I5803" s="10">
        <v>44757</v>
      </c>
      <c r="J5803" s="9">
        <f>48+72+84+12</f>
        <v>216</v>
      </c>
      <c r="K5803" s="9"/>
      <c r="L5803" s="9">
        <f>72+48+84</f>
        <v>204</v>
      </c>
      <c r="M5803" s="11"/>
      <c r="N5803" s="11"/>
      <c r="O5803" s="9"/>
      <c r="P5803" s="9"/>
      <c r="Q5803" s="9"/>
    </row>
    <row r="5804" spans="1:17" ht="14.5" hidden="1" customHeight="1" x14ac:dyDescent="0.35">
      <c r="A5804" s="9" t="s">
        <v>78</v>
      </c>
      <c r="B5804" s="9" t="s">
        <v>1336</v>
      </c>
      <c r="C5804" s="9" t="s">
        <v>18</v>
      </c>
      <c r="D5804" s="9"/>
      <c r="E5804" s="10">
        <v>44750</v>
      </c>
      <c r="F5804" s="100">
        <f>SUM(J5804:L5804)</f>
        <v>48</v>
      </c>
      <c r="G5804" s="100">
        <f>SUM(Table3[[#This Row],[Kim Dệt Ngày]:[Kim Khác Đêm]])</f>
        <v>0</v>
      </c>
      <c r="H5804" s="10">
        <v>44757</v>
      </c>
      <c r="I5804" s="10">
        <v>44757</v>
      </c>
      <c r="J5804" s="9">
        <f>48</f>
        <v>48</v>
      </c>
      <c r="K5804" s="9"/>
      <c r="L5804" s="9"/>
      <c r="M5804" s="11"/>
      <c r="N5804" s="11"/>
      <c r="O5804" s="9"/>
      <c r="P5804" s="9"/>
      <c r="Q5804" s="9"/>
    </row>
    <row r="5805" spans="1:17" ht="14.5" hidden="1" customHeight="1" x14ac:dyDescent="0.35">
      <c r="A5805" s="9" t="s">
        <v>71</v>
      </c>
      <c r="B5805" s="9" t="s">
        <v>238</v>
      </c>
      <c r="C5805" s="9" t="s">
        <v>28</v>
      </c>
      <c r="D5805" s="9"/>
      <c r="E5805" s="10">
        <v>44739</v>
      </c>
      <c r="F5805" s="100">
        <f>SUM(J5805:L5805)</f>
        <v>1776</v>
      </c>
      <c r="G5805" s="100">
        <f>SUM(Table3[[#This Row],[Kim Dệt Ngày]:[Kim Khác Đêm]])</f>
        <v>0</v>
      </c>
      <c r="H5805" s="10">
        <v>44743</v>
      </c>
      <c r="I5805" s="10">
        <v>44753</v>
      </c>
      <c r="J5805" s="9">
        <f>72+84+72+84+72+72+84+84+84</f>
        <v>708</v>
      </c>
      <c r="K5805" s="9"/>
      <c r="L5805" s="9">
        <f>108+96+96+108+96+108+96+96+96+84+84</f>
        <v>1068</v>
      </c>
      <c r="M5805" s="11"/>
      <c r="N5805" s="11"/>
      <c r="O5805" s="9"/>
      <c r="P5805" s="9"/>
      <c r="Q5805" s="9"/>
    </row>
    <row r="5806" spans="1:17" ht="14.5" hidden="1" customHeight="1" x14ac:dyDescent="0.35">
      <c r="A5806" s="9" t="s">
        <v>71</v>
      </c>
      <c r="B5806" s="9" t="s">
        <v>238</v>
      </c>
      <c r="C5806" s="9" t="s">
        <v>28</v>
      </c>
      <c r="D5806" s="9"/>
      <c r="E5806" s="10">
        <v>44753</v>
      </c>
      <c r="F5806" s="100">
        <f>SUM(J5806:L5806)</f>
        <v>336</v>
      </c>
      <c r="G5806" s="100">
        <f>SUM(Table3[[#This Row],[Kim Dệt Ngày]:[Kim Khác Đêm]])</f>
        <v>0</v>
      </c>
      <c r="H5806" s="10">
        <v>44754</v>
      </c>
      <c r="I5806" s="10">
        <v>44756</v>
      </c>
      <c r="J5806" s="9">
        <f>72+84</f>
        <v>156</v>
      </c>
      <c r="K5806" s="9"/>
      <c r="L5806" s="9">
        <f>72+96+12</f>
        <v>180</v>
      </c>
      <c r="M5806" s="11"/>
      <c r="N5806" s="11"/>
      <c r="O5806" s="9"/>
      <c r="P5806" s="9"/>
      <c r="Q5806" s="9"/>
    </row>
    <row r="5807" spans="1:17" ht="14.5" hidden="1" customHeight="1" x14ac:dyDescent="0.35">
      <c r="A5807" s="9" t="s">
        <v>71</v>
      </c>
      <c r="B5807" s="9" t="s">
        <v>238</v>
      </c>
      <c r="C5807" s="9" t="s">
        <v>18</v>
      </c>
      <c r="D5807" s="9"/>
      <c r="E5807" s="10">
        <v>44753</v>
      </c>
      <c r="F5807" s="100">
        <f>SUM(J5807:L5807)</f>
        <v>948</v>
      </c>
      <c r="G5807" s="100">
        <f>SUM(Table3[[#This Row],[Kim Dệt Ngày]:[Kim Khác Đêm]])</f>
        <v>0</v>
      </c>
      <c r="H5807" s="10">
        <v>44756</v>
      </c>
      <c r="I5807" s="10">
        <v>44762</v>
      </c>
      <c r="J5807" s="9">
        <f>72+72+84+96+24</f>
        <v>348</v>
      </c>
      <c r="K5807" s="9">
        <f>24</f>
        <v>24</v>
      </c>
      <c r="L5807" s="9">
        <f>84+96+96+108+96+96</f>
        <v>576</v>
      </c>
      <c r="M5807" s="11"/>
      <c r="N5807" s="11"/>
      <c r="O5807" s="9"/>
      <c r="P5807" s="9"/>
      <c r="Q5807" s="9"/>
    </row>
    <row r="5808" spans="1:17" x14ac:dyDescent="0.35">
      <c r="A5808" s="9" t="s">
        <v>76</v>
      </c>
      <c r="B5808" s="9" t="s">
        <v>1113</v>
      </c>
      <c r="C5808" s="9" t="s">
        <v>18</v>
      </c>
      <c r="D5808" s="9"/>
      <c r="E5808" s="10">
        <v>44750</v>
      </c>
      <c r="F5808" s="100">
        <f>SUM(J5808:L5808)</f>
        <v>924</v>
      </c>
      <c r="G5808" s="100">
        <f>SUM(Table3[[#This Row],[Kim Dệt Ngày]:[Kim Khác Đêm]])</f>
        <v>0</v>
      </c>
      <c r="H5808" s="10">
        <v>44756</v>
      </c>
      <c r="I5808" s="10"/>
      <c r="J5808" s="9">
        <f>60+48+60+60+60+48</f>
        <v>336</v>
      </c>
      <c r="K5808" s="9"/>
      <c r="L5808" s="9">
        <f>60+72+72+72+72+72+84+84</f>
        <v>588</v>
      </c>
      <c r="M5808" s="11"/>
      <c r="N5808" s="11"/>
      <c r="O5808" s="9"/>
      <c r="P5808" s="9"/>
      <c r="Q5808" s="9"/>
    </row>
    <row r="5809" spans="1:17" ht="14.5" hidden="1" customHeight="1" x14ac:dyDescent="0.35">
      <c r="A5809" s="9" t="s">
        <v>29</v>
      </c>
      <c r="B5809" s="9" t="s">
        <v>24</v>
      </c>
      <c r="C5809" s="9" t="s">
        <v>25</v>
      </c>
      <c r="D5809" s="9"/>
      <c r="E5809" s="10">
        <v>44756</v>
      </c>
      <c r="F5809" s="100">
        <f>SUM(J5809:L5809)</f>
        <v>408</v>
      </c>
      <c r="G5809" s="100">
        <f>SUM(Table3[[#This Row],[Kim Dệt Ngày]:[Kim Khác Đêm]])</f>
        <v>0</v>
      </c>
      <c r="H5809" s="10">
        <v>44757</v>
      </c>
      <c r="I5809" s="10">
        <v>44761</v>
      </c>
      <c r="J5809" s="9">
        <f>60+72+84+12</f>
        <v>228</v>
      </c>
      <c r="K5809" s="9"/>
      <c r="L5809" s="9">
        <f>96+84</f>
        <v>180</v>
      </c>
      <c r="M5809" s="11"/>
      <c r="N5809" s="11"/>
      <c r="O5809" s="9"/>
      <c r="P5809" s="9"/>
      <c r="Q5809" s="9"/>
    </row>
    <row r="5810" spans="1:17" ht="14.5" hidden="1" customHeight="1" x14ac:dyDescent="0.35">
      <c r="A5810" s="9" t="s">
        <v>103</v>
      </c>
      <c r="B5810" s="9" t="s">
        <v>104</v>
      </c>
      <c r="C5810" s="9" t="s">
        <v>25</v>
      </c>
      <c r="D5810" s="9"/>
      <c r="E5810" s="10">
        <v>44707</v>
      </c>
      <c r="F5810" s="100">
        <f>SUM(J5810:L5810)</f>
        <v>72</v>
      </c>
      <c r="G5810" s="100">
        <f>SUM(Table3[[#This Row],[Kim Dệt Ngày]:[Kim Khác Đêm]])</f>
        <v>0</v>
      </c>
      <c r="H5810" s="10">
        <v>44743</v>
      </c>
      <c r="I5810" s="10">
        <v>44747</v>
      </c>
      <c r="J5810" s="9">
        <v>12</v>
      </c>
      <c r="K5810" s="9"/>
      <c r="L5810" s="9">
        <f>60</f>
        <v>60</v>
      </c>
      <c r="M5810" s="11"/>
      <c r="N5810" s="11"/>
      <c r="O5810" s="9"/>
      <c r="P5810" s="9"/>
      <c r="Q5810" s="9"/>
    </row>
    <row r="5811" spans="1:17" x14ac:dyDescent="0.35">
      <c r="A5811" s="9" t="s">
        <v>77</v>
      </c>
      <c r="B5811" s="9" t="s">
        <v>1600</v>
      </c>
      <c r="C5811" s="9" t="s">
        <v>39</v>
      </c>
      <c r="D5811" s="9"/>
      <c r="E5811" s="10">
        <v>44762</v>
      </c>
      <c r="F5811" s="100">
        <f>SUM(J5811:L5811)</f>
        <v>180</v>
      </c>
      <c r="G5811" s="100">
        <f>SUM(Table3[[#This Row],[Kim Dệt Ngày]:[Kim Khác Đêm]])</f>
        <v>0</v>
      </c>
      <c r="H5811" s="10">
        <v>44763</v>
      </c>
      <c r="I5811" s="10"/>
      <c r="J5811" s="9">
        <f>72</f>
        <v>72</v>
      </c>
      <c r="K5811" s="9"/>
      <c r="L5811" s="9">
        <f>108</f>
        <v>108</v>
      </c>
      <c r="M5811" s="11"/>
      <c r="N5811" s="11"/>
      <c r="O5811" s="9"/>
      <c r="P5811" s="9"/>
      <c r="Q5811" s="9"/>
    </row>
    <row r="5812" spans="1:17" ht="14.5" hidden="1" customHeight="1" x14ac:dyDescent="0.35">
      <c r="A5812" s="9" t="s">
        <v>72</v>
      </c>
      <c r="B5812" s="9" t="s">
        <v>2787</v>
      </c>
      <c r="C5812" s="9" t="s">
        <v>28</v>
      </c>
      <c r="D5812" s="9"/>
      <c r="E5812" s="10">
        <v>44757</v>
      </c>
      <c r="F5812" s="100">
        <f>SUM(J5812:L5812)</f>
        <v>228</v>
      </c>
      <c r="G5812" s="100">
        <f>SUM(Table3[[#This Row],[Kim Dệt Ngày]:[Kim Khác Đêm]])</f>
        <v>0</v>
      </c>
      <c r="H5812" s="10">
        <v>44758</v>
      </c>
      <c r="I5812" s="10">
        <v>44760</v>
      </c>
      <c r="J5812" s="9">
        <f>48+48</f>
        <v>96</v>
      </c>
      <c r="K5812" s="9"/>
      <c r="L5812" s="9">
        <f>60+60+12</f>
        <v>132</v>
      </c>
      <c r="M5812" s="11"/>
      <c r="N5812" s="11"/>
      <c r="O5812" s="9"/>
      <c r="P5812" s="9"/>
      <c r="Q5812" s="9"/>
    </row>
    <row r="5813" spans="1:17" ht="14.5" hidden="1" customHeight="1" x14ac:dyDescent="0.35">
      <c r="A5813" s="9" t="s">
        <v>72</v>
      </c>
      <c r="B5813" s="9" t="s">
        <v>2787</v>
      </c>
      <c r="C5813" s="9" t="s">
        <v>39</v>
      </c>
      <c r="D5813" s="9"/>
      <c r="E5813" s="10">
        <v>44757</v>
      </c>
      <c r="F5813" s="100">
        <f>SUM(J5813:L5813)</f>
        <v>288</v>
      </c>
      <c r="G5813" s="100">
        <f>SUM(Table3[[#This Row],[Kim Dệt Ngày]:[Kim Khác Đêm]])</f>
        <v>0</v>
      </c>
      <c r="H5813" s="10">
        <v>44760</v>
      </c>
      <c r="I5813" s="10">
        <v>44763</v>
      </c>
      <c r="J5813" s="9">
        <f>60+36+12</f>
        <v>108</v>
      </c>
      <c r="K5813" s="9"/>
      <c r="L5813" s="9">
        <f>48+60+72</f>
        <v>180</v>
      </c>
      <c r="M5813" s="11"/>
      <c r="N5813" s="11"/>
      <c r="O5813" s="9"/>
      <c r="P5813" s="9"/>
      <c r="Q5813" s="9"/>
    </row>
    <row r="5814" spans="1:17" x14ac:dyDescent="0.35">
      <c r="A5814" s="9" t="s">
        <v>78</v>
      </c>
      <c r="B5814" s="9" t="s">
        <v>231</v>
      </c>
      <c r="C5814" s="9" t="s">
        <v>28</v>
      </c>
      <c r="D5814" s="9"/>
      <c r="E5814" s="10">
        <v>44757</v>
      </c>
      <c r="F5814" s="100"/>
      <c r="G5814" s="100">
        <f>SUM(Table3[[#This Row],[Kim Dệt Ngày]:[Kim Khác Đêm]])</f>
        <v>0</v>
      </c>
      <c r="H5814" s="10">
        <v>44763</v>
      </c>
      <c r="I5814" s="10"/>
      <c r="J5814" s="9"/>
      <c r="K5814" s="9"/>
      <c r="L5814" s="9">
        <f>84</f>
        <v>84</v>
      </c>
      <c r="M5814" s="11"/>
      <c r="N5814" s="11"/>
      <c r="O5814" s="9"/>
      <c r="P5814" s="9"/>
      <c r="Q5814" s="9"/>
    </row>
    <row r="5815" spans="1:17" ht="14.5" hidden="1" customHeight="1" x14ac:dyDescent="0.35">
      <c r="A5815" s="9" t="s">
        <v>85</v>
      </c>
      <c r="B5815" s="151" t="s">
        <v>1476</v>
      </c>
      <c r="C5815" s="9" t="s">
        <v>39</v>
      </c>
      <c r="D5815" s="9"/>
      <c r="E5815" s="10">
        <v>44751</v>
      </c>
      <c r="F5815" s="100">
        <f>SUM(J5815:L5815)</f>
        <v>12</v>
      </c>
      <c r="G5815" s="100">
        <f>SUM(Table3[[#This Row],[Kim Dệt Ngày]:[Kim Khác Đêm]])</f>
        <v>0</v>
      </c>
      <c r="H5815" s="10">
        <v>44751</v>
      </c>
      <c r="I5815" s="10">
        <v>44751</v>
      </c>
      <c r="J5815" s="9">
        <v>12</v>
      </c>
      <c r="K5815" s="9"/>
      <c r="L5815" s="9"/>
      <c r="M5815" s="11"/>
      <c r="N5815" s="11"/>
      <c r="O5815" s="9"/>
      <c r="P5815" s="9"/>
      <c r="Q5815" s="9"/>
    </row>
    <row r="5816" spans="1:17" ht="14.5" hidden="1" customHeight="1" x14ac:dyDescent="0.35">
      <c r="A5816" s="9" t="s">
        <v>85</v>
      </c>
      <c r="B5816" s="151" t="s">
        <v>1476</v>
      </c>
      <c r="C5816" s="9" t="s">
        <v>28</v>
      </c>
      <c r="D5816" s="9"/>
      <c r="E5816" s="10">
        <v>44751</v>
      </c>
      <c r="F5816" s="100">
        <f>SUM(J5816:L5816)</f>
        <v>132</v>
      </c>
      <c r="G5816" s="100">
        <f>SUM(Table3[[#This Row],[Kim Dệt Ngày]:[Kim Khác Đêm]])</f>
        <v>0</v>
      </c>
      <c r="H5816" s="10">
        <v>44751</v>
      </c>
      <c r="I5816" s="10">
        <v>44760</v>
      </c>
      <c r="J5816" s="9"/>
      <c r="K5816" s="9"/>
      <c r="L5816" s="9">
        <f>72+60</f>
        <v>132</v>
      </c>
      <c r="M5816" s="11"/>
      <c r="N5816" s="11"/>
      <c r="O5816" s="9"/>
      <c r="P5816" s="9"/>
      <c r="Q5816" s="9"/>
    </row>
    <row r="5817" spans="1:17" ht="14.5" hidden="1" customHeight="1" x14ac:dyDescent="0.35">
      <c r="A5817" s="9" t="s">
        <v>85</v>
      </c>
      <c r="B5817" s="9" t="s">
        <v>2750</v>
      </c>
      <c r="C5817" s="9" t="s">
        <v>28</v>
      </c>
      <c r="D5817" s="9"/>
      <c r="E5817" s="10">
        <v>44749</v>
      </c>
      <c r="F5817" s="100">
        <f>SUM(J5817:L5817)</f>
        <v>108</v>
      </c>
      <c r="G5817" s="100">
        <f>SUM(Table3[[#This Row],[Kim Dệt Ngày]:[Kim Khác Đêm]])</f>
        <v>0</v>
      </c>
      <c r="H5817" s="10">
        <v>44749</v>
      </c>
      <c r="I5817" s="10">
        <v>44750</v>
      </c>
      <c r="J5817" s="9">
        <f>36</f>
        <v>36</v>
      </c>
      <c r="K5817" s="9"/>
      <c r="L5817" s="9">
        <f>72</f>
        <v>72</v>
      </c>
      <c r="M5817" s="11"/>
      <c r="N5817" s="11"/>
      <c r="O5817" s="9"/>
      <c r="P5817" s="9"/>
      <c r="Q5817" s="9"/>
    </row>
    <row r="5818" spans="1:17" ht="14.5" hidden="1" customHeight="1" x14ac:dyDescent="0.35">
      <c r="A5818" s="9" t="s">
        <v>83</v>
      </c>
      <c r="B5818" s="161" t="s">
        <v>1071</v>
      </c>
      <c r="C5818" s="9" t="s">
        <v>18</v>
      </c>
      <c r="D5818" s="9"/>
      <c r="E5818" s="10">
        <v>44710</v>
      </c>
      <c r="F5818" s="100">
        <f>SUM(J5818:L5818)</f>
        <v>780</v>
      </c>
      <c r="G5818" s="100">
        <f>SUM(Table3[[#This Row],[Kim Dệt Ngày]:[Kim Khác Đêm]])</f>
        <v>0</v>
      </c>
      <c r="H5818" s="10">
        <v>44743</v>
      </c>
      <c r="I5818" s="10">
        <v>44749</v>
      </c>
      <c r="J5818" s="9">
        <f>48+60+60+48+48+48</f>
        <v>312</v>
      </c>
      <c r="K5818" s="9"/>
      <c r="L5818" s="9">
        <f>72+36+60+72+72+84+72</f>
        <v>468</v>
      </c>
      <c r="M5818" s="11"/>
      <c r="N5818" s="11"/>
      <c r="O5818" s="9"/>
      <c r="P5818" s="9"/>
      <c r="Q5818" s="9"/>
    </row>
    <row r="5819" spans="1:17" ht="14.5" hidden="1" customHeight="1" x14ac:dyDescent="0.35">
      <c r="A5819" s="9" t="s">
        <v>83</v>
      </c>
      <c r="B5819" s="161" t="s">
        <v>1071</v>
      </c>
      <c r="C5819" s="9" t="s">
        <v>18</v>
      </c>
      <c r="D5819" s="9"/>
      <c r="E5819" s="10">
        <v>44749</v>
      </c>
      <c r="F5819" s="100">
        <f>SUM(J5819:L5819)</f>
        <v>276</v>
      </c>
      <c r="G5819" s="100">
        <f>SUM(Table3[[#This Row],[Kim Dệt Ngày]:[Kim Khác Đêm]])</f>
        <v>0</v>
      </c>
      <c r="H5819" s="10">
        <v>44750</v>
      </c>
      <c r="I5819" s="10">
        <v>44752</v>
      </c>
      <c r="J5819" s="9">
        <f>72+60</f>
        <v>132</v>
      </c>
      <c r="K5819" s="9"/>
      <c r="L5819" s="9">
        <f>72+72</f>
        <v>144</v>
      </c>
      <c r="M5819" s="11"/>
      <c r="N5819" s="11"/>
      <c r="O5819" s="9"/>
      <c r="P5819" s="9"/>
      <c r="Q5819" s="9"/>
    </row>
    <row r="5820" spans="1:17" ht="14.5" hidden="1" customHeight="1" x14ac:dyDescent="0.35">
      <c r="A5820" s="9" t="s">
        <v>42</v>
      </c>
      <c r="B5820" s="161" t="s">
        <v>1071</v>
      </c>
      <c r="C5820" s="9" t="s">
        <v>18</v>
      </c>
      <c r="D5820" s="9"/>
      <c r="E5820" s="10">
        <v>44749</v>
      </c>
      <c r="F5820" s="100">
        <f>SUM(J5820:L5820)</f>
        <v>636</v>
      </c>
      <c r="G5820" s="100">
        <f>SUM(Table3[[#This Row],[Kim Dệt Ngày]:[Kim Khác Đêm]])</f>
        <v>0</v>
      </c>
      <c r="H5820" s="10">
        <v>44743</v>
      </c>
      <c r="I5820" s="10">
        <v>44760</v>
      </c>
      <c r="J5820" s="9">
        <f>48+36+24+72+48+96+48+60+12</f>
        <v>444</v>
      </c>
      <c r="K5820" s="9"/>
      <c r="L5820" s="9">
        <f>48+84+60</f>
        <v>192</v>
      </c>
      <c r="M5820" s="11"/>
      <c r="N5820" s="11"/>
      <c r="O5820" s="9"/>
      <c r="P5820" s="9"/>
      <c r="Q5820" s="9"/>
    </row>
    <row r="5821" spans="1:17" x14ac:dyDescent="0.35">
      <c r="A5821" s="9" t="s">
        <v>80</v>
      </c>
      <c r="B5821" s="261" t="s">
        <v>1070</v>
      </c>
      <c r="C5821" s="9" t="s">
        <v>28</v>
      </c>
      <c r="D5821" s="9"/>
      <c r="E5821" s="10">
        <v>44736</v>
      </c>
      <c r="F5821" s="100">
        <f>SUM(J5821:L5821)</f>
        <v>1188</v>
      </c>
      <c r="G5821" s="100">
        <f>SUM(Table3[[#This Row],[Kim Dệt Ngày]:[Kim Khác Đêm]])</f>
        <v>0</v>
      </c>
      <c r="H5821" s="10">
        <v>44753</v>
      </c>
      <c r="I5821" s="10"/>
      <c r="J5821" s="9">
        <f>60+60+72+72+60+84+60+48+60</f>
        <v>576</v>
      </c>
      <c r="K5821" s="9"/>
      <c r="L5821" s="9">
        <f>72+72+72+72+72+84+84+84</f>
        <v>612</v>
      </c>
      <c r="M5821" s="11"/>
      <c r="N5821" s="11"/>
      <c r="O5821" s="9"/>
      <c r="P5821" s="9"/>
      <c r="Q5821" s="9"/>
    </row>
    <row r="5822" spans="1:17" x14ac:dyDescent="0.35">
      <c r="A5822" s="9" t="s">
        <v>82</v>
      </c>
      <c r="B5822" s="9" t="s">
        <v>2080</v>
      </c>
      <c r="C5822" s="9" t="s">
        <v>39</v>
      </c>
      <c r="D5822" s="9"/>
      <c r="E5822" s="10">
        <v>44760</v>
      </c>
      <c r="F5822" s="100">
        <f>SUM(J5822:L5822)</f>
        <v>600</v>
      </c>
      <c r="G5822" s="100">
        <f>SUM(Table3[[#This Row],[Kim Dệt Ngày]:[Kim Khác Đêm]])</f>
        <v>0</v>
      </c>
      <c r="H5822" s="10">
        <v>44761</v>
      </c>
      <c r="I5822" s="10"/>
      <c r="J5822" s="9">
        <f>96+84+84</f>
        <v>264</v>
      </c>
      <c r="K5822" s="9"/>
      <c r="L5822" s="9">
        <f>108+108+120</f>
        <v>336</v>
      </c>
      <c r="M5822" s="11"/>
      <c r="N5822" s="11"/>
      <c r="O5822" s="9"/>
      <c r="P5822" s="9"/>
      <c r="Q5822" s="9"/>
    </row>
    <row r="5823" spans="1:17" x14ac:dyDescent="0.35">
      <c r="A5823" s="9" t="s">
        <v>83</v>
      </c>
      <c r="B5823" s="161" t="s">
        <v>1071</v>
      </c>
      <c r="C5823" s="9" t="s">
        <v>28</v>
      </c>
      <c r="D5823" s="9"/>
      <c r="E5823" s="10">
        <v>44736</v>
      </c>
      <c r="F5823" s="100">
        <f>SUM(J5823:L5823)</f>
        <v>1164</v>
      </c>
      <c r="G5823" s="100">
        <f>SUM(Table3[[#This Row],[Kim Dệt Ngày]:[Kim Khác Đêm]])</f>
        <v>0</v>
      </c>
      <c r="H5823" s="10">
        <v>44753</v>
      </c>
      <c r="I5823" s="10"/>
      <c r="J5823" s="9">
        <f>72+60+72+60+48+72+72+48+60</f>
        <v>564</v>
      </c>
      <c r="K5823" s="9"/>
      <c r="L5823" s="9">
        <f>72+72+84+72+72+72+84+72</f>
        <v>600</v>
      </c>
      <c r="M5823" s="11"/>
      <c r="N5823" s="11"/>
      <c r="O5823" s="9"/>
      <c r="P5823" s="9"/>
      <c r="Q5823" s="9"/>
    </row>
    <row r="5824" spans="1:17" ht="14.5" hidden="1" customHeight="1" x14ac:dyDescent="0.35">
      <c r="A5824" s="9" t="s">
        <v>16</v>
      </c>
      <c r="B5824" s="261" t="s">
        <v>1070</v>
      </c>
      <c r="C5824" s="9" t="s">
        <v>18</v>
      </c>
      <c r="D5824" s="9"/>
      <c r="E5824" s="10">
        <v>44710</v>
      </c>
      <c r="F5824" s="100">
        <f>SUM(J5824:L5824)</f>
        <v>408</v>
      </c>
      <c r="G5824" s="100">
        <f>SUM(Table3[[#This Row],[Kim Dệt Ngày]:[Kim Khác Đêm]])</f>
        <v>0</v>
      </c>
      <c r="H5824" s="10">
        <v>44743</v>
      </c>
      <c r="I5824" s="10">
        <v>44749</v>
      </c>
      <c r="J5824" s="9">
        <f>24+60+60+24+48+72</f>
        <v>288</v>
      </c>
      <c r="K5824" s="9"/>
      <c r="L5824" s="9">
        <f>72+48</f>
        <v>120</v>
      </c>
      <c r="M5824" s="11"/>
      <c r="N5824" s="11"/>
      <c r="O5824" s="9"/>
      <c r="P5824" s="9"/>
      <c r="Q5824" s="9"/>
    </row>
    <row r="5825" spans="1:17" ht="14.5" hidden="1" customHeight="1" x14ac:dyDescent="0.35">
      <c r="A5825" s="9" t="s">
        <v>80</v>
      </c>
      <c r="B5825" s="261" t="s">
        <v>1070</v>
      </c>
      <c r="C5825" s="9" t="s">
        <v>18</v>
      </c>
      <c r="D5825" s="9"/>
      <c r="E5825" s="10">
        <v>44710</v>
      </c>
      <c r="F5825" s="100">
        <f>SUM(J5825:L5825)</f>
        <v>972</v>
      </c>
      <c r="G5825" s="100">
        <f>SUM(Table3[[#This Row],[Kim Dệt Ngày]:[Kim Khác Đêm]])</f>
        <v>0</v>
      </c>
      <c r="H5825" s="10">
        <v>44743</v>
      </c>
      <c r="I5825" s="10">
        <v>44749</v>
      </c>
      <c r="J5825" s="9">
        <f>60+72+60+72+60+72</f>
        <v>396</v>
      </c>
      <c r="K5825" s="9"/>
      <c r="L5825" s="9">
        <f>72+96+72+96+72+84+84</f>
        <v>576</v>
      </c>
      <c r="M5825" s="11"/>
      <c r="N5825" s="11"/>
      <c r="O5825" s="9"/>
      <c r="P5825" s="9"/>
      <c r="Q5825" s="9"/>
    </row>
    <row r="5826" spans="1:17" ht="14.5" hidden="1" customHeight="1" x14ac:dyDescent="0.35">
      <c r="A5826" s="9" t="s">
        <v>90</v>
      </c>
      <c r="B5826" s="150" t="s">
        <v>1070</v>
      </c>
      <c r="C5826" s="9" t="s">
        <v>18</v>
      </c>
      <c r="D5826" s="9"/>
      <c r="E5826" s="10">
        <v>44710</v>
      </c>
      <c r="F5826" s="100">
        <f>SUM(J5826:L5826)</f>
        <v>384</v>
      </c>
      <c r="G5826" s="100">
        <f>SUM(Table3[[#This Row],[Kim Dệt Ngày]:[Kim Khác Đêm]])</f>
        <v>0</v>
      </c>
      <c r="H5826" s="10">
        <v>44743</v>
      </c>
      <c r="I5826" s="10">
        <v>44749</v>
      </c>
      <c r="J5826" s="9">
        <f>48+48+36+48+36+72</f>
        <v>288</v>
      </c>
      <c r="K5826" s="9"/>
      <c r="L5826" s="9">
        <f>48+48</f>
        <v>96</v>
      </c>
      <c r="M5826" s="11"/>
      <c r="N5826" s="11"/>
      <c r="O5826" s="9"/>
      <c r="P5826" s="9"/>
      <c r="Q5826" s="9"/>
    </row>
    <row r="5827" spans="1:17" ht="14.5" hidden="1" customHeight="1" x14ac:dyDescent="0.35">
      <c r="A5827" s="9" t="s">
        <v>80</v>
      </c>
      <c r="B5827" s="261" t="s">
        <v>1070</v>
      </c>
      <c r="C5827" s="9" t="s">
        <v>18</v>
      </c>
      <c r="D5827" s="9"/>
      <c r="E5827" s="10">
        <v>44749</v>
      </c>
      <c r="F5827" s="100">
        <f>SUM(J5827:L5827)</f>
        <v>300</v>
      </c>
      <c r="G5827" s="100">
        <f>SUM(Table3[[#This Row],[Kim Dệt Ngày]:[Kim Khác Đêm]])</f>
        <v>0</v>
      </c>
      <c r="H5827" s="10">
        <v>44750</v>
      </c>
      <c r="I5827" s="10">
        <v>44752</v>
      </c>
      <c r="J5827" s="9">
        <f>72+60</f>
        <v>132</v>
      </c>
      <c r="K5827" s="9"/>
      <c r="L5827" s="9">
        <f>84+84</f>
        <v>168</v>
      </c>
      <c r="M5827" s="11"/>
      <c r="N5827" s="11"/>
      <c r="O5827" s="9"/>
      <c r="P5827" s="9"/>
      <c r="Q5827" s="9"/>
    </row>
    <row r="5828" spans="1:17" ht="14.5" hidden="1" customHeight="1" x14ac:dyDescent="0.35">
      <c r="A5828" s="9" t="s">
        <v>90</v>
      </c>
      <c r="B5828" s="9" t="s">
        <v>1070</v>
      </c>
      <c r="C5828" s="9" t="s">
        <v>18</v>
      </c>
      <c r="D5828" s="9"/>
      <c r="E5828" s="10">
        <v>44749</v>
      </c>
      <c r="F5828" s="100">
        <f>SUM(J5828:L5828)</f>
        <v>120</v>
      </c>
      <c r="G5828" s="100">
        <f>SUM(Table3[[#This Row],[Kim Dệt Ngày]:[Kim Khác Đêm]])</f>
        <v>0</v>
      </c>
      <c r="H5828" s="10">
        <v>44750</v>
      </c>
      <c r="I5828" s="10">
        <v>44754</v>
      </c>
      <c r="J5828" s="9">
        <f>36+48+36</f>
        <v>120</v>
      </c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 t="s">
        <v>85</v>
      </c>
      <c r="B5829" s="250" t="s">
        <v>2133</v>
      </c>
      <c r="C5829" s="9" t="s">
        <v>132</v>
      </c>
      <c r="D5829" s="9"/>
      <c r="E5829" s="10">
        <v>44760</v>
      </c>
      <c r="F5829" s="100">
        <f>SUM(J5829:L5829)</f>
        <v>180</v>
      </c>
      <c r="G5829" s="100">
        <f>SUM(Table3[[#This Row],[Kim Dệt Ngày]:[Kim Khác Đêm]])</f>
        <v>0</v>
      </c>
      <c r="H5829" s="10">
        <v>44762</v>
      </c>
      <c r="I5829" s="10"/>
      <c r="J5829" s="9">
        <f>48+72</f>
        <v>120</v>
      </c>
      <c r="K5829" s="9">
        <f>48+12</f>
        <v>60</v>
      </c>
      <c r="L5829" s="9"/>
      <c r="M5829" s="11"/>
      <c r="N5829" s="11"/>
      <c r="O5829" s="9"/>
      <c r="P5829" s="9"/>
      <c r="Q5829" s="9"/>
    </row>
    <row r="5830" spans="1:17" x14ac:dyDescent="0.35">
      <c r="A5830" s="9" t="s">
        <v>88</v>
      </c>
      <c r="B5830" s="9" t="s">
        <v>2590</v>
      </c>
      <c r="C5830" s="9" t="s">
        <v>28</v>
      </c>
      <c r="D5830" s="9"/>
      <c r="E5830" s="10">
        <v>44762</v>
      </c>
      <c r="F5830" s="100">
        <f>SUM(J5830:L5830)</f>
        <v>140</v>
      </c>
      <c r="G5830" s="100">
        <f>SUM(Table3[[#This Row],[Kim Dệt Ngày]:[Kim Khác Đêm]])</f>
        <v>0</v>
      </c>
      <c r="H5830" s="10">
        <v>44762</v>
      </c>
      <c r="I5830" s="10"/>
      <c r="J5830" s="9">
        <f>20+70</f>
        <v>90</v>
      </c>
      <c r="K5830" s="9">
        <f>40+10</f>
        <v>50</v>
      </c>
      <c r="L5830" s="9"/>
      <c r="M5830" s="11"/>
      <c r="N5830" s="11"/>
      <c r="O5830" s="9"/>
      <c r="P5830" s="9"/>
      <c r="Q5830" s="9"/>
    </row>
    <row r="5831" spans="1:17" ht="14.5" hidden="1" customHeight="1" x14ac:dyDescent="0.35">
      <c r="A5831" s="9" t="s">
        <v>35</v>
      </c>
      <c r="B5831" s="9" t="s">
        <v>2603</v>
      </c>
      <c r="C5831" s="9" t="s">
        <v>28</v>
      </c>
      <c r="D5831" s="9"/>
      <c r="E5831" s="10">
        <v>44750</v>
      </c>
      <c r="F5831" s="100">
        <f>SUM(J5831:L5831)</f>
        <v>252</v>
      </c>
      <c r="G5831" s="100">
        <f>SUM(Table3[[#This Row],[Kim Dệt Ngày]:[Kim Khác Đêm]])</f>
        <v>0</v>
      </c>
      <c r="H5831" s="10">
        <v>44751</v>
      </c>
      <c r="I5831" s="10">
        <v>44753</v>
      </c>
      <c r="J5831" s="9">
        <f>72+96</f>
        <v>168</v>
      </c>
      <c r="K5831" s="9"/>
      <c r="L5831" s="9">
        <f>84</f>
        <v>84</v>
      </c>
      <c r="M5831" s="11"/>
      <c r="N5831" s="11"/>
      <c r="O5831" s="9"/>
      <c r="P5831" s="9"/>
      <c r="Q5831" s="9"/>
    </row>
    <row r="5832" spans="1:17" ht="14.5" hidden="1" customHeight="1" x14ac:dyDescent="0.35">
      <c r="A5832" s="9" t="s">
        <v>33</v>
      </c>
      <c r="B5832" s="9" t="s">
        <v>2603</v>
      </c>
      <c r="C5832" s="9" t="s">
        <v>39</v>
      </c>
      <c r="D5832" s="9"/>
      <c r="E5832" s="10">
        <v>44741</v>
      </c>
      <c r="F5832" s="100">
        <f>SUM(J5832:L5832)</f>
        <v>696</v>
      </c>
      <c r="G5832" s="100">
        <f>SUM(Table3[[#This Row],[Kim Dệt Ngày]:[Kim Khác Đêm]])</f>
        <v>1</v>
      </c>
      <c r="H5832" s="10">
        <v>44743</v>
      </c>
      <c r="I5832" s="10">
        <v>44750</v>
      </c>
      <c r="J5832" s="9">
        <f>72+84+60+72+72+96+60</f>
        <v>516</v>
      </c>
      <c r="K5832" s="9"/>
      <c r="L5832" s="9">
        <f>84+96</f>
        <v>180</v>
      </c>
      <c r="M5832" s="11">
        <f>1</f>
        <v>1</v>
      </c>
      <c r="N5832" s="11"/>
      <c r="O5832" s="9"/>
      <c r="P5832" s="9"/>
      <c r="Q5832" s="9"/>
    </row>
    <row r="5833" spans="1:17" ht="14.5" hidden="1" customHeight="1" x14ac:dyDescent="0.35">
      <c r="A5833" s="9" t="s">
        <v>35</v>
      </c>
      <c r="B5833" s="9" t="s">
        <v>2603</v>
      </c>
      <c r="C5833" s="9" t="s">
        <v>28</v>
      </c>
      <c r="D5833" s="9"/>
      <c r="E5833" s="10">
        <v>44741</v>
      </c>
      <c r="F5833" s="100">
        <f>SUM(J5833:L5833)</f>
        <v>720</v>
      </c>
      <c r="G5833" s="100">
        <f>SUM(Table3[[#This Row],[Kim Dệt Ngày]:[Kim Khác Đêm]])</f>
        <v>4</v>
      </c>
      <c r="H5833" s="10">
        <v>44743</v>
      </c>
      <c r="I5833" s="10">
        <v>44750</v>
      </c>
      <c r="J5833" s="9">
        <f>72+72+60+96+72+84+72</f>
        <v>528</v>
      </c>
      <c r="K5833" s="9"/>
      <c r="L5833" s="9">
        <f>84+108</f>
        <v>192</v>
      </c>
      <c r="M5833" s="11">
        <f>2+2</f>
        <v>4</v>
      </c>
      <c r="N5833" s="11"/>
      <c r="O5833" s="9"/>
      <c r="P5833" s="9"/>
      <c r="Q5833" s="9"/>
    </row>
    <row r="5834" spans="1:17" ht="14.5" hidden="1" customHeight="1" x14ac:dyDescent="0.35">
      <c r="A5834" s="9" t="s">
        <v>94</v>
      </c>
      <c r="B5834" s="9" t="s">
        <v>2603</v>
      </c>
      <c r="C5834" s="9" t="s">
        <v>25</v>
      </c>
      <c r="D5834" s="9"/>
      <c r="E5834" s="10">
        <v>44741</v>
      </c>
      <c r="F5834" s="100">
        <f>SUM(J5834:L5834)</f>
        <v>600</v>
      </c>
      <c r="G5834" s="100">
        <f>SUM(Table3[[#This Row],[Kim Dệt Ngày]:[Kim Khác Đêm]])</f>
        <v>0</v>
      </c>
      <c r="H5834" s="10">
        <v>44743</v>
      </c>
      <c r="I5834" s="10">
        <v>44750</v>
      </c>
      <c r="J5834" s="9">
        <f>36+48+48+48+36+36+36</f>
        <v>288</v>
      </c>
      <c r="K5834" s="9"/>
      <c r="L5834" s="9">
        <f>48+36+48+36+48+48+48</f>
        <v>312</v>
      </c>
      <c r="M5834" s="11"/>
      <c r="N5834" s="11"/>
      <c r="O5834" s="9"/>
      <c r="P5834" s="9"/>
      <c r="Q5834" s="9"/>
    </row>
    <row r="5835" spans="1:17" ht="14.5" hidden="1" customHeight="1" x14ac:dyDescent="0.35">
      <c r="A5835" s="9" t="s">
        <v>95</v>
      </c>
      <c r="B5835" s="9" t="s">
        <v>2603</v>
      </c>
      <c r="C5835" s="9" t="s">
        <v>18</v>
      </c>
      <c r="D5835" s="9"/>
      <c r="E5835" s="10">
        <v>44741</v>
      </c>
      <c r="F5835" s="100">
        <f>SUM(J5835:L5835)</f>
        <v>972</v>
      </c>
      <c r="G5835" s="100">
        <f>SUM(Table3[[#This Row],[Kim Dệt Ngày]:[Kim Khác Đêm]])</f>
        <v>0</v>
      </c>
      <c r="H5835" s="10">
        <v>44743</v>
      </c>
      <c r="I5835" s="10">
        <v>44750</v>
      </c>
      <c r="J5835" s="9">
        <f>60+48+60+60+36+60+60</f>
        <v>384</v>
      </c>
      <c r="K5835" s="9"/>
      <c r="L5835" s="9">
        <f>84+60+60+84+72+84+72+72</f>
        <v>588</v>
      </c>
      <c r="M5835" s="11"/>
      <c r="N5835" s="11"/>
      <c r="O5835" s="9"/>
      <c r="P5835" s="9"/>
      <c r="Q5835" s="9"/>
    </row>
    <row r="5836" spans="1:17" ht="14.5" hidden="1" customHeight="1" x14ac:dyDescent="0.35">
      <c r="A5836" s="9" t="s">
        <v>98</v>
      </c>
      <c r="B5836" s="9" t="s">
        <v>2603</v>
      </c>
      <c r="C5836" s="9" t="s">
        <v>28</v>
      </c>
      <c r="D5836" s="9"/>
      <c r="E5836" s="10">
        <v>44741</v>
      </c>
      <c r="F5836" s="100">
        <f>SUM(J5836:L5836)</f>
        <v>540</v>
      </c>
      <c r="G5836" s="100">
        <f>SUM(Table3[[#This Row],[Kim Dệt Ngày]:[Kim Khác Đêm]])</f>
        <v>0</v>
      </c>
      <c r="H5836" s="10">
        <v>44743</v>
      </c>
      <c r="I5836" s="10">
        <v>44750</v>
      </c>
      <c r="J5836" s="9">
        <f>36+48+48+48+36+48</f>
        <v>264</v>
      </c>
      <c r="K5836" s="9"/>
      <c r="L5836" s="9">
        <f>60+36+48+48+48+36</f>
        <v>276</v>
      </c>
      <c r="M5836" s="11"/>
      <c r="N5836" s="11"/>
      <c r="O5836" s="9"/>
      <c r="P5836" s="9"/>
      <c r="Q5836" s="9"/>
    </row>
    <row r="5837" spans="1:17" x14ac:dyDescent="0.35">
      <c r="A5837" s="9" t="s">
        <v>90</v>
      </c>
      <c r="B5837" s="9" t="s">
        <v>1070</v>
      </c>
      <c r="C5837" s="9" t="s">
        <v>39</v>
      </c>
      <c r="D5837" s="9"/>
      <c r="E5837" s="10">
        <v>44731</v>
      </c>
      <c r="F5837" s="100">
        <f>SUM(J5837:L5837)</f>
        <v>540</v>
      </c>
      <c r="G5837" s="100">
        <f>SUM(Table3[[#This Row],[Kim Dệt Ngày]:[Kim Khác Đêm]])</f>
        <v>0</v>
      </c>
      <c r="H5837" s="10">
        <v>44755</v>
      </c>
      <c r="I5837" s="10"/>
      <c r="J5837" s="9">
        <f>36+60+48+48+36+60+48+12</f>
        <v>348</v>
      </c>
      <c r="K5837" s="9">
        <f>24+24</f>
        <v>48</v>
      </c>
      <c r="L5837" s="9">
        <f>36+60+48</f>
        <v>144</v>
      </c>
      <c r="M5837" s="11"/>
      <c r="N5837" s="11"/>
      <c r="O5837" s="9"/>
      <c r="P5837" s="9"/>
      <c r="Q5837" s="9"/>
    </row>
    <row r="5838" spans="1:17" x14ac:dyDescent="0.35">
      <c r="A5838" s="9" t="s">
        <v>91</v>
      </c>
      <c r="B5838" s="161" t="s">
        <v>1071</v>
      </c>
      <c r="C5838" s="9" t="s">
        <v>28</v>
      </c>
      <c r="D5838" s="9"/>
      <c r="E5838" s="10">
        <v>44736</v>
      </c>
      <c r="F5838" s="100">
        <f>SUM(J5838:L5838)</f>
        <v>0</v>
      </c>
      <c r="G5838" s="100">
        <f>SUM(Table3[[#This Row],[Kim Dệt Ngày]:[Kim Khác Đêm]])</f>
        <v>0</v>
      </c>
      <c r="H5838" s="10">
        <v>44743</v>
      </c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ht="14.5" hidden="1" customHeight="1" x14ac:dyDescent="0.35">
      <c r="A5839" s="9" t="s">
        <v>33</v>
      </c>
      <c r="B5839" s="9" t="s">
        <v>2603</v>
      </c>
      <c r="C5839" s="9" t="s">
        <v>39</v>
      </c>
      <c r="D5839" s="9"/>
      <c r="E5839" s="10">
        <v>44750</v>
      </c>
      <c r="F5839" s="100">
        <f>SUM(J5839:L5839)</f>
        <v>492</v>
      </c>
      <c r="G5839" s="100">
        <f>SUM(Table3[[#This Row],[Kim Dệt Ngày]:[Kim Khác Đêm]])</f>
        <v>0</v>
      </c>
      <c r="H5839" s="10">
        <v>44751</v>
      </c>
      <c r="I5839" s="10">
        <v>44754</v>
      </c>
      <c r="J5839" s="9">
        <f>72+84+84</f>
        <v>240</v>
      </c>
      <c r="K5839" s="9"/>
      <c r="L5839" s="9">
        <f>84+84+84</f>
        <v>252</v>
      </c>
      <c r="M5839" s="11"/>
      <c r="N5839" s="11"/>
      <c r="O5839" s="9"/>
      <c r="P5839" s="9"/>
      <c r="Q5839" s="9"/>
    </row>
    <row r="5840" spans="1:17" ht="14.5" hidden="1" customHeight="1" x14ac:dyDescent="0.35">
      <c r="A5840" s="9" t="s">
        <v>35</v>
      </c>
      <c r="B5840" s="9" t="s">
        <v>2603</v>
      </c>
      <c r="C5840" s="9" t="s">
        <v>18</v>
      </c>
      <c r="D5840" s="9"/>
      <c r="E5840" s="10">
        <v>44750</v>
      </c>
      <c r="F5840" s="100">
        <f>SUM(J5840:L5840)</f>
        <v>264</v>
      </c>
      <c r="G5840" s="100">
        <f>SUM(Table3[[#This Row],[Kim Dệt Ngày]:[Kim Khác Đêm]])</f>
        <v>0</v>
      </c>
      <c r="H5840" s="10">
        <v>44753</v>
      </c>
      <c r="I5840" s="10">
        <v>44754</v>
      </c>
      <c r="J5840" s="9">
        <f>84</f>
        <v>84</v>
      </c>
      <c r="K5840" s="9"/>
      <c r="L5840" s="9">
        <f>84+96</f>
        <v>180</v>
      </c>
      <c r="M5840" s="11"/>
      <c r="N5840" s="11"/>
      <c r="O5840" s="9"/>
      <c r="P5840" s="9"/>
      <c r="Q5840" s="9"/>
    </row>
    <row r="5841" spans="1:17" ht="14.5" hidden="1" customHeight="1" x14ac:dyDescent="0.35">
      <c r="A5841" s="9" t="s">
        <v>94</v>
      </c>
      <c r="B5841" s="9" t="s">
        <v>2603</v>
      </c>
      <c r="C5841" s="9" t="s">
        <v>25</v>
      </c>
      <c r="D5841" s="9"/>
      <c r="E5841" s="10">
        <v>44750</v>
      </c>
      <c r="F5841" s="100">
        <f>SUM(J5841:L5841)</f>
        <v>240</v>
      </c>
      <c r="G5841" s="100">
        <f>SUM(Table3[[#This Row],[Kim Dệt Ngày]:[Kim Khác Đêm]])</f>
        <v>0</v>
      </c>
      <c r="H5841" s="10">
        <v>44751</v>
      </c>
      <c r="I5841" s="10">
        <v>44754</v>
      </c>
      <c r="J5841" s="9">
        <f>36+48</f>
        <v>84</v>
      </c>
      <c r="K5841" s="9"/>
      <c r="L5841" s="9">
        <f>48+36+36+36</f>
        <v>156</v>
      </c>
      <c r="M5841" s="11"/>
      <c r="N5841" s="11"/>
      <c r="O5841" s="9"/>
      <c r="P5841" s="9"/>
      <c r="Q5841" s="9"/>
    </row>
    <row r="5842" spans="1:17" ht="14.5" hidden="1" customHeight="1" x14ac:dyDescent="0.35">
      <c r="A5842" s="9" t="s">
        <v>95</v>
      </c>
      <c r="B5842" s="9" t="s">
        <v>2603</v>
      </c>
      <c r="C5842" s="9" t="s">
        <v>18</v>
      </c>
      <c r="D5842" s="9"/>
      <c r="E5842" s="10">
        <v>44750</v>
      </c>
      <c r="F5842" s="100">
        <f>SUM(J5842:L5842)</f>
        <v>360</v>
      </c>
      <c r="G5842" s="100">
        <f>SUM(Table3[[#This Row],[Kim Dệt Ngày]:[Kim Khác Đêm]])</f>
        <v>0</v>
      </c>
      <c r="H5842" s="10">
        <v>44751</v>
      </c>
      <c r="I5842" s="10">
        <v>44754</v>
      </c>
      <c r="J5842" s="9">
        <f>60+48</f>
        <v>108</v>
      </c>
      <c r="K5842" s="9"/>
      <c r="L5842" s="9">
        <f>72+60+72+48</f>
        <v>252</v>
      </c>
      <c r="M5842" s="11"/>
      <c r="N5842" s="11"/>
      <c r="O5842" s="9"/>
      <c r="P5842" s="9"/>
      <c r="Q5842" s="9"/>
    </row>
    <row r="5843" spans="1:17" ht="14.5" hidden="1" customHeight="1" x14ac:dyDescent="0.35">
      <c r="A5843" s="9" t="s">
        <v>98</v>
      </c>
      <c r="B5843" s="9" t="s">
        <v>2603</v>
      </c>
      <c r="C5843" s="9" t="s">
        <v>28</v>
      </c>
      <c r="D5843" s="9"/>
      <c r="E5843" s="10">
        <v>44750</v>
      </c>
      <c r="F5843" s="100">
        <f>SUM(J5843:L5843)</f>
        <v>276</v>
      </c>
      <c r="G5843" s="100">
        <f>SUM(Table3[[#This Row],[Kim Dệt Ngày]:[Kim Khác Đêm]])</f>
        <v>0</v>
      </c>
      <c r="H5843" s="10">
        <v>44751</v>
      </c>
      <c r="I5843" s="10">
        <v>44754</v>
      </c>
      <c r="J5843" s="9">
        <f>36+48</f>
        <v>84</v>
      </c>
      <c r="K5843" s="9"/>
      <c r="L5843" s="9">
        <f>60+48+48+36</f>
        <v>192</v>
      </c>
      <c r="M5843" s="11"/>
      <c r="N5843" s="11"/>
      <c r="O5843" s="9"/>
      <c r="P5843" s="9"/>
      <c r="Q5843" s="9"/>
    </row>
    <row r="5844" spans="1:17" ht="14.5" hidden="1" customHeight="1" x14ac:dyDescent="0.35">
      <c r="A5844" s="9" t="s">
        <v>33</v>
      </c>
      <c r="B5844" s="9" t="s">
        <v>2603</v>
      </c>
      <c r="C5844" s="9" t="s">
        <v>39</v>
      </c>
      <c r="D5844" s="9"/>
      <c r="E5844" s="10">
        <v>44754</v>
      </c>
      <c r="F5844" s="100">
        <f>SUM(J5844:L5844)</f>
        <v>732</v>
      </c>
      <c r="G5844" s="100">
        <f>SUM(Table3[[#This Row],[Kim Dệt Ngày]:[Kim Khác Đêm]])</f>
        <v>0</v>
      </c>
      <c r="H5844" s="10">
        <v>44755</v>
      </c>
      <c r="I5844" s="10">
        <v>44760</v>
      </c>
      <c r="J5844" s="9">
        <f>72+72+84+72+72</f>
        <v>372</v>
      </c>
      <c r="K5844" s="9"/>
      <c r="L5844" s="9">
        <f>96+84+84+96</f>
        <v>360</v>
      </c>
      <c r="M5844" s="11"/>
      <c r="N5844" s="11"/>
      <c r="O5844" s="9"/>
      <c r="P5844" s="9"/>
      <c r="Q5844" s="9"/>
    </row>
    <row r="5845" spans="1:17" ht="14.5" hidden="1" customHeight="1" x14ac:dyDescent="0.35">
      <c r="A5845" s="9" t="s">
        <v>105</v>
      </c>
      <c r="B5845" s="150" t="s">
        <v>2603</v>
      </c>
      <c r="C5845" s="9" t="s">
        <v>28</v>
      </c>
      <c r="D5845" s="9"/>
      <c r="E5845" s="10">
        <v>44754</v>
      </c>
      <c r="F5845" s="100">
        <f>SUM(J5845:L5845)</f>
        <v>132</v>
      </c>
      <c r="G5845" s="100">
        <f>SUM(Table3[[#This Row],[Kim Dệt Ngày]:[Kim Khác Đêm]])</f>
        <v>0</v>
      </c>
      <c r="H5845" s="10">
        <v>44758</v>
      </c>
      <c r="I5845" s="10">
        <v>44760</v>
      </c>
      <c r="J5845" s="9">
        <f>12</f>
        <v>12</v>
      </c>
      <c r="K5845" s="9"/>
      <c r="L5845" s="9">
        <f>60+60</f>
        <v>120</v>
      </c>
      <c r="M5845" s="11"/>
      <c r="N5845" s="11"/>
      <c r="O5845" s="9"/>
      <c r="P5845" s="9"/>
      <c r="Q5845" s="9"/>
    </row>
    <row r="5846" spans="1:17" ht="14.5" hidden="1" customHeight="1" x14ac:dyDescent="0.35">
      <c r="A5846" s="9" t="s">
        <v>35</v>
      </c>
      <c r="B5846" s="9" t="s">
        <v>2603</v>
      </c>
      <c r="C5846" s="9" t="s">
        <v>18</v>
      </c>
      <c r="D5846" s="9"/>
      <c r="E5846" s="10">
        <v>44754</v>
      </c>
      <c r="F5846" s="100">
        <f>SUM(J5846:L5846)</f>
        <v>708</v>
      </c>
      <c r="G5846" s="100">
        <f>SUM(Table3[[#This Row],[Kim Dệt Ngày]:[Kim Khác Đêm]])</f>
        <v>0</v>
      </c>
      <c r="H5846" s="10">
        <v>44755</v>
      </c>
      <c r="I5846" s="10">
        <v>44760</v>
      </c>
      <c r="J5846" s="9">
        <f>84+84+72+72+84</f>
        <v>396</v>
      </c>
      <c r="K5846" s="9"/>
      <c r="L5846" s="9">
        <f>72+84+72+84</f>
        <v>312</v>
      </c>
      <c r="M5846" s="11"/>
      <c r="N5846" s="11"/>
      <c r="O5846" s="9"/>
      <c r="P5846" s="9"/>
      <c r="Q5846" s="9"/>
    </row>
    <row r="5847" spans="1:17" ht="14.5" hidden="1" customHeight="1" x14ac:dyDescent="0.35">
      <c r="A5847" s="9" t="s">
        <v>94</v>
      </c>
      <c r="B5847" s="9" t="s">
        <v>2603</v>
      </c>
      <c r="C5847" s="9" t="s">
        <v>25</v>
      </c>
      <c r="D5847" s="9"/>
      <c r="E5847" s="10">
        <v>44754</v>
      </c>
      <c r="F5847" s="100">
        <f>SUM(J5847:L5847)</f>
        <v>468</v>
      </c>
      <c r="G5847" s="100">
        <f>SUM(Table3[[#This Row],[Kim Dệt Ngày]:[Kim Khác Đêm]])</f>
        <v>0</v>
      </c>
      <c r="H5847" s="10">
        <v>44755</v>
      </c>
      <c r="I5847" s="10">
        <v>44760</v>
      </c>
      <c r="J5847" s="9">
        <f>36+36+36+36+48</f>
        <v>192</v>
      </c>
      <c r="K5847" s="9"/>
      <c r="L5847" s="9">
        <f>48+48+48+48+36+48</f>
        <v>276</v>
      </c>
      <c r="M5847" s="11"/>
      <c r="N5847" s="11"/>
      <c r="O5847" s="9"/>
      <c r="P5847" s="9"/>
      <c r="Q5847" s="9"/>
    </row>
    <row r="5848" spans="1:17" ht="14.5" hidden="1" customHeight="1" x14ac:dyDescent="0.35">
      <c r="A5848" s="9" t="s">
        <v>95</v>
      </c>
      <c r="B5848" s="9" t="s">
        <v>2603</v>
      </c>
      <c r="C5848" s="9" t="s">
        <v>79</v>
      </c>
      <c r="D5848" s="9"/>
      <c r="E5848" s="10">
        <v>44754</v>
      </c>
      <c r="F5848" s="100">
        <f>SUM(J5848:L5848)</f>
        <v>744</v>
      </c>
      <c r="G5848" s="100">
        <f>SUM(Table3[[#This Row],[Kim Dệt Ngày]:[Kim Khác Đêm]])</f>
        <v>0</v>
      </c>
      <c r="H5848" s="10">
        <v>44755</v>
      </c>
      <c r="I5848" s="10">
        <v>44760</v>
      </c>
      <c r="J5848" s="9">
        <f>48+60+60+48+60</f>
        <v>276</v>
      </c>
      <c r="K5848" s="9"/>
      <c r="L5848" s="9">
        <f>72+84+72+72+84+84</f>
        <v>468</v>
      </c>
      <c r="M5848" s="11"/>
      <c r="N5848" s="11"/>
      <c r="O5848" s="9"/>
      <c r="P5848" s="9"/>
      <c r="Q5848" s="9"/>
    </row>
    <row r="5849" spans="1:17" ht="14.5" hidden="1" customHeight="1" x14ac:dyDescent="0.35">
      <c r="A5849" s="9" t="s">
        <v>98</v>
      </c>
      <c r="B5849" s="9" t="s">
        <v>2603</v>
      </c>
      <c r="C5849" s="9" t="s">
        <v>28</v>
      </c>
      <c r="D5849" s="9"/>
      <c r="E5849" s="10">
        <v>44754</v>
      </c>
      <c r="F5849" s="100">
        <f>SUM(J5849:L5849)</f>
        <v>540</v>
      </c>
      <c r="G5849" s="100">
        <f>SUM(Table3[[#This Row],[Kim Dệt Ngày]:[Kim Khác Đêm]])</f>
        <v>0</v>
      </c>
      <c r="H5849" s="10">
        <v>44755</v>
      </c>
      <c r="I5849" s="10">
        <v>44760</v>
      </c>
      <c r="J5849" s="9">
        <f>36+48+36+36+60</f>
        <v>216</v>
      </c>
      <c r="K5849" s="9"/>
      <c r="L5849" s="9">
        <f>48+60+60+60+48+48</f>
        <v>324</v>
      </c>
      <c r="M5849" s="11"/>
      <c r="N5849" s="11"/>
      <c r="O5849" s="9"/>
      <c r="P5849" s="9"/>
      <c r="Q5849" s="9"/>
    </row>
    <row r="5850" spans="1:17" ht="14.5" hidden="1" customHeight="1" x14ac:dyDescent="0.35">
      <c r="A5850" s="9" t="s">
        <v>101</v>
      </c>
      <c r="B5850" s="9" t="s">
        <v>2603</v>
      </c>
      <c r="C5850" s="9" t="s">
        <v>28</v>
      </c>
      <c r="D5850" s="9"/>
      <c r="E5850" s="10">
        <v>44754</v>
      </c>
      <c r="F5850" s="100">
        <f>SUM(J5850:L5850)</f>
        <v>72</v>
      </c>
      <c r="G5850" s="100">
        <f>SUM(Table3[[#This Row],[Kim Dệt Ngày]:[Kim Khác Đêm]])</f>
        <v>0</v>
      </c>
      <c r="H5850" s="10">
        <v>44758</v>
      </c>
      <c r="I5850" s="10">
        <v>44760</v>
      </c>
      <c r="J5850" s="9">
        <f>24</f>
        <v>24</v>
      </c>
      <c r="K5850" s="9"/>
      <c r="L5850" s="9">
        <f>48</f>
        <v>48</v>
      </c>
      <c r="M5850" s="11"/>
      <c r="N5850" s="11"/>
      <c r="O5850" s="9"/>
      <c r="P5850" s="9"/>
      <c r="Q5850" s="9"/>
    </row>
    <row r="5851" spans="1:17" hidden="1" x14ac:dyDescent="0.35">
      <c r="A5851" s="9" t="s">
        <v>93</v>
      </c>
      <c r="B5851" s="9" t="s">
        <v>1691</v>
      </c>
      <c r="C5851" s="9" t="s">
        <v>18</v>
      </c>
      <c r="D5851" s="9"/>
      <c r="E5851" s="10">
        <v>44749</v>
      </c>
      <c r="F5851" s="100">
        <f>SUM(J5851:L5851)</f>
        <v>432</v>
      </c>
      <c r="G5851" s="100">
        <f>SUM(Table3[[#This Row],[Kim Dệt Ngày]:[Kim Khác Đêm]])</f>
        <v>0</v>
      </c>
      <c r="H5851" s="10">
        <v>44750</v>
      </c>
      <c r="I5851" s="10">
        <v>44763</v>
      </c>
      <c r="J5851" s="9">
        <f>36+48+24+12+36+36+48+48</f>
        <v>288</v>
      </c>
      <c r="K5851" s="9">
        <f>24+24</f>
        <v>48</v>
      </c>
      <c r="L5851" s="9">
        <f>48+48</f>
        <v>96</v>
      </c>
      <c r="M5851" s="11"/>
      <c r="N5851" s="11"/>
      <c r="O5851" s="9"/>
      <c r="P5851" s="9"/>
      <c r="Q5851" s="9"/>
    </row>
    <row r="5852" spans="1:17" x14ac:dyDescent="0.35">
      <c r="A5852" s="9" t="s">
        <v>94</v>
      </c>
      <c r="B5852" s="9" t="s">
        <v>2603</v>
      </c>
      <c r="C5852" s="9" t="s">
        <v>25</v>
      </c>
      <c r="D5852" s="9"/>
      <c r="E5852" s="10">
        <v>44760</v>
      </c>
      <c r="F5852" s="100">
        <f>SUM(J5852:L5852)</f>
        <v>300</v>
      </c>
      <c r="G5852" s="100">
        <f>SUM(Table3[[#This Row],[Kim Dệt Ngày]:[Kim Khác Đêm]])</f>
        <v>0</v>
      </c>
      <c r="H5852" s="10">
        <v>44761</v>
      </c>
      <c r="I5852" s="10"/>
      <c r="J5852" s="9">
        <f>36+36+48</f>
        <v>120</v>
      </c>
      <c r="K5852" s="9">
        <f>24+24</f>
        <v>48</v>
      </c>
      <c r="L5852" s="9">
        <f>48+36+48</f>
        <v>132</v>
      </c>
      <c r="M5852" s="11"/>
      <c r="N5852" s="11"/>
      <c r="O5852" s="9"/>
      <c r="P5852" s="9"/>
      <c r="Q5852" s="9"/>
    </row>
    <row r="5853" spans="1:17" x14ac:dyDescent="0.35">
      <c r="A5853" s="9" t="s">
        <v>95</v>
      </c>
      <c r="B5853" s="9" t="s">
        <v>2603</v>
      </c>
      <c r="C5853" s="9" t="s">
        <v>79</v>
      </c>
      <c r="D5853" s="9"/>
      <c r="E5853" s="10">
        <v>44760</v>
      </c>
      <c r="F5853" s="100">
        <f>SUM(J5853:L5853)</f>
        <v>420</v>
      </c>
      <c r="G5853" s="100">
        <f>SUM(Table3[[#This Row],[Kim Dệt Ngày]:[Kim Khác Đêm]])</f>
        <v>0</v>
      </c>
      <c r="H5853" s="10">
        <v>44761</v>
      </c>
      <c r="I5853" s="10"/>
      <c r="J5853" s="9">
        <f>60+48+60</f>
        <v>168</v>
      </c>
      <c r="K5853" s="9">
        <f>24+12</f>
        <v>36</v>
      </c>
      <c r="L5853" s="9">
        <f>72+72+72</f>
        <v>216</v>
      </c>
      <c r="M5853" s="11"/>
      <c r="N5853" s="11"/>
      <c r="O5853" s="9"/>
      <c r="P5853" s="9"/>
      <c r="Q5853" s="9"/>
    </row>
    <row r="5854" spans="1:17" hidden="1" x14ac:dyDescent="0.35">
      <c r="A5854" s="9" t="s">
        <v>96</v>
      </c>
      <c r="B5854" s="150" t="s">
        <v>1060</v>
      </c>
      <c r="C5854" s="9" t="s">
        <v>18</v>
      </c>
      <c r="D5854" s="9"/>
      <c r="E5854" s="10">
        <v>44756</v>
      </c>
      <c r="F5854" s="100">
        <f>SUM(J5854:L5854)</f>
        <v>396</v>
      </c>
      <c r="G5854" s="100">
        <f>SUM(Table3[[#This Row],[Kim Dệt Ngày]:[Kim Khác Đêm]])</f>
        <v>0</v>
      </c>
      <c r="H5854" s="10">
        <v>44761</v>
      </c>
      <c r="I5854" s="10">
        <v>44763</v>
      </c>
      <c r="J5854" s="9">
        <f>48+72+72</f>
        <v>192</v>
      </c>
      <c r="K5854" s="9">
        <f>24+12</f>
        <v>36</v>
      </c>
      <c r="L5854" s="9">
        <f>84+84</f>
        <v>168</v>
      </c>
      <c r="M5854" s="11"/>
      <c r="N5854" s="11"/>
      <c r="O5854" s="9"/>
      <c r="P5854" s="9"/>
      <c r="Q5854" s="9"/>
    </row>
    <row r="5855" spans="1:17" x14ac:dyDescent="0.35">
      <c r="A5855" s="9" t="s">
        <v>97</v>
      </c>
      <c r="B5855" s="9" t="s">
        <v>2243</v>
      </c>
      <c r="C5855" s="9" t="s">
        <v>28</v>
      </c>
      <c r="D5855" s="9"/>
      <c r="E5855" s="10">
        <v>44760</v>
      </c>
      <c r="F5855" s="100">
        <f>SUM(J5855:L5855)</f>
        <v>300</v>
      </c>
      <c r="G5855" s="100">
        <f>SUM(Table3[[#This Row],[Kim Dệt Ngày]:[Kim Khác Đêm]])</f>
        <v>0</v>
      </c>
      <c r="H5855" s="10">
        <v>44761</v>
      </c>
      <c r="I5855" s="10"/>
      <c r="J5855" s="9">
        <f>48+48+48</f>
        <v>144</v>
      </c>
      <c r="K5855" s="9"/>
      <c r="L5855" s="9">
        <f>48+48+60</f>
        <v>156</v>
      </c>
      <c r="M5855" s="11"/>
      <c r="N5855" s="11"/>
      <c r="O5855" s="9"/>
      <c r="P5855" s="9"/>
      <c r="Q5855" s="9"/>
    </row>
    <row r="5856" spans="1:17" ht="14.5" hidden="1" customHeight="1" x14ac:dyDescent="0.35">
      <c r="A5856" s="9" t="s">
        <v>85</v>
      </c>
      <c r="B5856" s="250" t="s">
        <v>2133</v>
      </c>
      <c r="C5856" s="9" t="s">
        <v>1569</v>
      </c>
      <c r="D5856" s="9"/>
      <c r="E5856" s="10">
        <v>44760</v>
      </c>
      <c r="F5856" s="100">
        <f>SUM(J5856:L5856)</f>
        <v>156</v>
      </c>
      <c r="G5856" s="100">
        <f>SUM(Table3[[#This Row],[Kim Dệt Ngày]:[Kim Khác Đêm]])</f>
        <v>0</v>
      </c>
      <c r="H5856" s="10">
        <v>44760</v>
      </c>
      <c r="I5856" s="10">
        <v>44762</v>
      </c>
      <c r="J5856" s="9">
        <f>12+84+12</f>
        <v>108</v>
      </c>
      <c r="K5856" s="9">
        <f>48</f>
        <v>48</v>
      </c>
      <c r="L5856" s="9"/>
      <c r="M5856" s="11"/>
      <c r="N5856" s="11"/>
      <c r="O5856" s="9"/>
      <c r="P5856" s="9"/>
      <c r="Q5856" s="9"/>
    </row>
    <row r="5857" spans="1:17" x14ac:dyDescent="0.35">
      <c r="A5857" s="9" t="s">
        <v>98</v>
      </c>
      <c r="B5857" s="9" t="s">
        <v>2603</v>
      </c>
      <c r="C5857" s="9" t="s">
        <v>28</v>
      </c>
      <c r="D5857" s="9"/>
      <c r="E5857" s="10">
        <v>44760</v>
      </c>
      <c r="F5857" s="100">
        <f>SUM(J5857:L5857)</f>
        <v>276</v>
      </c>
      <c r="G5857" s="100">
        <f>SUM(Table3[[#This Row],[Kim Dệt Ngày]:[Kim Khác Đêm]])</f>
        <v>0</v>
      </c>
      <c r="H5857" s="10">
        <v>44761</v>
      </c>
      <c r="I5857" s="10"/>
      <c r="J5857" s="9">
        <f>48+36+48</f>
        <v>132</v>
      </c>
      <c r="K5857" s="9"/>
      <c r="L5857" s="9">
        <f>24+60+60</f>
        <v>144</v>
      </c>
      <c r="M5857" s="11"/>
      <c r="N5857" s="11"/>
      <c r="O5857" s="9"/>
      <c r="P5857" s="9"/>
      <c r="Q5857" s="9"/>
    </row>
    <row r="5858" spans="1:17" x14ac:dyDescent="0.35">
      <c r="A5858" s="9" t="s">
        <v>100</v>
      </c>
      <c r="B5858" s="9" t="s">
        <v>2603</v>
      </c>
      <c r="C5858" s="9" t="s">
        <v>25</v>
      </c>
      <c r="D5858" s="9"/>
      <c r="E5858" s="10">
        <v>44760</v>
      </c>
      <c r="F5858" s="100">
        <f>SUM(J5858:L5858)</f>
        <v>0</v>
      </c>
      <c r="G5858" s="100">
        <f>SUM(Table3[[#This Row],[Kim Dệt Ngày]:[Kim Khác Đêm]])</f>
        <v>0</v>
      </c>
      <c r="H5858" s="10">
        <v>44743</v>
      </c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 t="s">
        <v>101</v>
      </c>
      <c r="B5859" s="9" t="s">
        <v>2603</v>
      </c>
      <c r="C5859" s="9" t="s">
        <v>28</v>
      </c>
      <c r="D5859" s="9"/>
      <c r="E5859" s="10">
        <v>44760</v>
      </c>
      <c r="F5859" s="100">
        <f>SUM(J5859:L5859)</f>
        <v>276</v>
      </c>
      <c r="G5859" s="100">
        <f>SUM(Table3[[#This Row],[Kim Dệt Ngày]:[Kim Khác Đêm]])</f>
        <v>0</v>
      </c>
      <c r="H5859" s="10">
        <v>44761</v>
      </c>
      <c r="I5859" s="10"/>
      <c r="J5859" s="9">
        <f>48+48+36</f>
        <v>132</v>
      </c>
      <c r="K5859" s="9"/>
      <c r="L5859" s="9">
        <f>48+48+48</f>
        <v>144</v>
      </c>
      <c r="M5859" s="11"/>
      <c r="N5859" s="11"/>
      <c r="O5859" s="9"/>
      <c r="P5859" s="9"/>
      <c r="Q5859" s="9"/>
    </row>
    <row r="5860" spans="1:17" ht="14.5" hidden="1" customHeight="1" x14ac:dyDescent="0.35">
      <c r="A5860" s="9" t="s">
        <v>74</v>
      </c>
      <c r="B5860" s="9" t="s">
        <v>2687</v>
      </c>
      <c r="C5860" s="9" t="s">
        <v>18</v>
      </c>
      <c r="D5860" s="9"/>
      <c r="E5860" s="10">
        <v>44721</v>
      </c>
      <c r="F5860" s="100">
        <f>SUM(J5860:L5860)</f>
        <v>120</v>
      </c>
      <c r="G5860" s="100">
        <f>SUM(Table3[[#This Row],[Kim Dệt Ngày]:[Kim Khác Đêm]])</f>
        <v>0</v>
      </c>
      <c r="H5860" s="10">
        <v>44743</v>
      </c>
      <c r="I5860" s="10">
        <v>44744</v>
      </c>
      <c r="J5860" s="9">
        <f>48+12</f>
        <v>60</v>
      </c>
      <c r="K5860" s="9"/>
      <c r="L5860" s="9">
        <f>60</f>
        <v>60</v>
      </c>
      <c r="M5860" s="11"/>
      <c r="N5860" s="11"/>
      <c r="O5860" s="9"/>
      <c r="P5860" s="9"/>
      <c r="Q5860" s="9"/>
    </row>
    <row r="5861" spans="1:17" ht="14.5" hidden="1" customHeight="1" x14ac:dyDescent="0.35">
      <c r="A5861" s="9" t="s">
        <v>49</v>
      </c>
      <c r="B5861" s="9" t="s">
        <v>1163</v>
      </c>
      <c r="C5861" s="9" t="s">
        <v>39</v>
      </c>
      <c r="D5861" s="9"/>
      <c r="E5861" s="10">
        <v>44735</v>
      </c>
      <c r="F5861" s="100">
        <f>SUM(J5861:L5861)</f>
        <v>264</v>
      </c>
      <c r="G5861" s="100">
        <f>SUM(Table3[[#This Row],[Kim Dệt Ngày]:[Kim Khác Đêm]])</f>
        <v>6</v>
      </c>
      <c r="H5861" s="10">
        <v>44743</v>
      </c>
      <c r="I5861" s="10">
        <v>44749</v>
      </c>
      <c r="J5861" s="9">
        <f>36+36+36+36+48</f>
        <v>192</v>
      </c>
      <c r="K5861" s="9"/>
      <c r="L5861" s="9">
        <f>48+24</f>
        <v>72</v>
      </c>
      <c r="M5861" s="11">
        <f>6</f>
        <v>6</v>
      </c>
      <c r="N5861" s="11"/>
      <c r="O5861" s="9"/>
      <c r="P5861" s="9"/>
      <c r="Q5861" s="9"/>
    </row>
    <row r="5862" spans="1:17" ht="14.5" hidden="1" customHeight="1" x14ac:dyDescent="0.35">
      <c r="A5862" s="9" t="s">
        <v>51</v>
      </c>
      <c r="B5862" s="9" t="s">
        <v>1163</v>
      </c>
      <c r="C5862" s="9" t="s">
        <v>25</v>
      </c>
      <c r="D5862" s="9"/>
      <c r="E5862" s="10">
        <v>44735</v>
      </c>
      <c r="F5862" s="100">
        <f>SUM(J5862:L5862)</f>
        <v>180</v>
      </c>
      <c r="G5862" s="100">
        <f>SUM(Table3[[#This Row],[Kim Dệt Ngày]:[Kim Khác Đêm]])</f>
        <v>0</v>
      </c>
      <c r="H5862" s="10">
        <v>44743</v>
      </c>
      <c r="I5862" s="10">
        <v>44746</v>
      </c>
      <c r="J5862" s="9">
        <f>48+36+24</f>
        <v>108</v>
      </c>
      <c r="K5862" s="9"/>
      <c r="L5862" s="9">
        <f>72</f>
        <v>72</v>
      </c>
      <c r="M5862" s="11"/>
      <c r="N5862" s="11"/>
      <c r="O5862" s="9"/>
      <c r="P5862" s="9"/>
      <c r="Q5862" s="9"/>
    </row>
    <row r="5863" spans="1:17" ht="14.5" hidden="1" customHeight="1" x14ac:dyDescent="0.35">
      <c r="A5863" s="9" t="s">
        <v>53</v>
      </c>
      <c r="B5863" s="9" t="s">
        <v>1332</v>
      </c>
      <c r="C5863" s="9" t="s">
        <v>39</v>
      </c>
      <c r="D5863" s="9"/>
      <c r="E5863" s="10">
        <v>44735</v>
      </c>
      <c r="F5863" s="100">
        <f>SUM(J5863:L5863)</f>
        <v>36</v>
      </c>
      <c r="G5863" s="100">
        <f>SUM(Table3[[#This Row],[Kim Dệt Ngày]:[Kim Khác Đêm]])</f>
        <v>0</v>
      </c>
      <c r="H5863" s="10">
        <v>44743</v>
      </c>
      <c r="I5863" s="10">
        <v>44744</v>
      </c>
      <c r="J5863" s="9"/>
      <c r="K5863" s="9"/>
      <c r="L5863" s="9">
        <f>36</f>
        <v>36</v>
      </c>
      <c r="M5863" s="11"/>
      <c r="N5863" s="11"/>
      <c r="O5863" s="9"/>
      <c r="P5863" s="9"/>
      <c r="Q5863" s="9"/>
    </row>
    <row r="5864" spans="1:17" ht="14.5" hidden="1" customHeight="1" x14ac:dyDescent="0.35">
      <c r="A5864" s="9" t="s">
        <v>55</v>
      </c>
      <c r="B5864" s="9" t="s">
        <v>1332</v>
      </c>
      <c r="C5864" s="9" t="s">
        <v>79</v>
      </c>
      <c r="D5864" s="9"/>
      <c r="E5864" s="10">
        <v>44735</v>
      </c>
      <c r="F5864" s="100">
        <f>SUM(J5864:L5864)</f>
        <v>12</v>
      </c>
      <c r="G5864" s="100">
        <f>SUM(Table3[[#This Row],[Kim Dệt Ngày]:[Kim Khác Đêm]])</f>
        <v>0</v>
      </c>
      <c r="H5864" s="10">
        <v>44743</v>
      </c>
      <c r="I5864" s="10">
        <v>44744</v>
      </c>
      <c r="J5864" s="9">
        <f>12</f>
        <v>12</v>
      </c>
      <c r="K5864" s="9"/>
      <c r="L5864" s="9"/>
      <c r="M5864" s="11"/>
      <c r="N5864" s="11"/>
      <c r="O5864" s="9"/>
      <c r="P5864" s="9"/>
      <c r="Q5864" s="9"/>
    </row>
    <row r="5865" spans="1:17" ht="14.5" hidden="1" customHeight="1" x14ac:dyDescent="0.35">
      <c r="A5865" s="9" t="s">
        <v>53</v>
      </c>
      <c r="B5865" s="9" t="s">
        <v>1332</v>
      </c>
      <c r="C5865" s="9" t="s">
        <v>18</v>
      </c>
      <c r="D5865" s="9"/>
      <c r="E5865" s="10">
        <v>44735</v>
      </c>
      <c r="F5865" s="100">
        <f>SUM(J5865:L5865)</f>
        <v>288</v>
      </c>
      <c r="G5865" s="100">
        <f>SUM(Table3[[#This Row],[Kim Dệt Ngày]:[Kim Khác Đêm]])</f>
        <v>30</v>
      </c>
      <c r="H5865" s="10">
        <v>44744</v>
      </c>
      <c r="I5865" s="10">
        <v>44753</v>
      </c>
      <c r="J5865" s="9">
        <f>36+24+24+12+12+36+24+36</f>
        <v>204</v>
      </c>
      <c r="K5865" s="9"/>
      <c r="L5865" s="9">
        <f>48+24+12</f>
        <v>84</v>
      </c>
      <c r="M5865" s="11">
        <f>27</f>
        <v>27</v>
      </c>
      <c r="N5865" s="11">
        <f>3</f>
        <v>3</v>
      </c>
      <c r="O5865" s="9"/>
      <c r="P5865" s="9"/>
      <c r="Q5865" s="9"/>
    </row>
    <row r="5866" spans="1:17" ht="14.5" hidden="1" customHeight="1" x14ac:dyDescent="0.35">
      <c r="A5866" s="9" t="s">
        <v>55</v>
      </c>
      <c r="B5866" s="9" t="s">
        <v>1332</v>
      </c>
      <c r="C5866" s="9" t="s">
        <v>25</v>
      </c>
      <c r="D5866" s="9"/>
      <c r="E5866" s="10">
        <v>44735</v>
      </c>
      <c r="F5866" s="100">
        <f>SUM(J5866:L5866)</f>
        <v>288</v>
      </c>
      <c r="G5866" s="100">
        <f>SUM(Table3[[#This Row],[Kim Dệt Ngày]:[Kim Khác Đêm]])</f>
        <v>0</v>
      </c>
      <c r="H5866" s="10">
        <v>44744</v>
      </c>
      <c r="I5866" s="10">
        <v>44753</v>
      </c>
      <c r="J5866" s="9">
        <f>12+24+24+24+24+36+24+36</f>
        <v>204</v>
      </c>
      <c r="K5866" s="9"/>
      <c r="L5866" s="9">
        <f>24+24+36</f>
        <v>84</v>
      </c>
      <c r="M5866" s="11"/>
      <c r="N5866" s="11"/>
      <c r="O5866" s="9"/>
      <c r="P5866" s="9"/>
      <c r="Q5866" s="9"/>
    </row>
    <row r="5867" spans="1:17" ht="14.5" hidden="1" customHeight="1" x14ac:dyDescent="0.35">
      <c r="A5867" s="9" t="s">
        <v>19</v>
      </c>
      <c r="B5867" s="9" t="s">
        <v>2156</v>
      </c>
      <c r="C5867" s="261" t="s">
        <v>2149</v>
      </c>
      <c r="D5867" s="9"/>
      <c r="E5867" s="10">
        <v>44735</v>
      </c>
      <c r="F5867" s="100">
        <f>SUM(J5867:L5867)</f>
        <v>360</v>
      </c>
      <c r="G5867" s="100">
        <f>SUM(Table3[[#This Row],[Kim Dệt Ngày]:[Kim Khác Đêm]])</f>
        <v>0</v>
      </c>
      <c r="H5867" s="10">
        <v>44744</v>
      </c>
      <c r="I5867" s="10">
        <v>44749</v>
      </c>
      <c r="J5867" s="9">
        <f>36+60+48+60+72</f>
        <v>276</v>
      </c>
      <c r="K5867" s="9"/>
      <c r="L5867" s="9">
        <f>84</f>
        <v>84</v>
      </c>
      <c r="M5867" s="11"/>
      <c r="N5867" s="11"/>
      <c r="O5867" s="9"/>
      <c r="P5867" s="9"/>
      <c r="Q5867" s="9"/>
    </row>
    <row r="5868" spans="1:17" ht="14.5" hidden="1" customHeight="1" x14ac:dyDescent="0.35">
      <c r="A5868" s="9" t="s">
        <v>19</v>
      </c>
      <c r="B5868" s="9" t="s">
        <v>2156</v>
      </c>
      <c r="C5868" s="261" t="s">
        <v>2592</v>
      </c>
      <c r="D5868" s="9"/>
      <c r="E5868" s="10">
        <v>44735</v>
      </c>
      <c r="F5868" s="100">
        <f>SUM(J5868:L5868)</f>
        <v>324</v>
      </c>
      <c r="G5868" s="100">
        <f>SUM(Table3[[#This Row],[Kim Dệt Ngày]:[Kim Khác Đêm]])</f>
        <v>0</v>
      </c>
      <c r="H5868" s="10">
        <v>44750</v>
      </c>
      <c r="I5868" s="10">
        <v>44757</v>
      </c>
      <c r="J5868" s="9">
        <f>60+60+24+48+60+60+12</f>
        <v>324</v>
      </c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 t="s">
        <v>102</v>
      </c>
      <c r="B5869" s="9" t="s">
        <v>256</v>
      </c>
      <c r="C5869" s="9" t="s">
        <v>99</v>
      </c>
      <c r="D5869" s="9"/>
      <c r="E5869" s="10">
        <v>44762</v>
      </c>
      <c r="F5869" s="100">
        <f>SUM(J5869:L5869)</f>
        <v>84</v>
      </c>
      <c r="G5869" s="100">
        <f>SUM(Table3[[#This Row],[Kim Dệt Ngày]:[Kim Khác Đêm]])</f>
        <v>0</v>
      </c>
      <c r="H5869" s="10">
        <v>44762</v>
      </c>
      <c r="I5869" s="10"/>
      <c r="J5869" s="9">
        <f>36</f>
        <v>36</v>
      </c>
      <c r="K5869" s="9"/>
      <c r="L5869" s="9">
        <v>48</v>
      </c>
      <c r="M5869" s="11"/>
      <c r="N5869" s="11"/>
      <c r="O5869" s="9"/>
      <c r="P5869" s="9"/>
      <c r="Q5869" s="9"/>
    </row>
    <row r="5870" spans="1:17" ht="14.5" hidden="1" customHeight="1" x14ac:dyDescent="0.35">
      <c r="A5870" s="9" t="s">
        <v>19</v>
      </c>
      <c r="B5870" s="9" t="s">
        <v>2156</v>
      </c>
      <c r="C5870" s="261" t="s">
        <v>2624</v>
      </c>
      <c r="D5870" s="9"/>
      <c r="E5870" s="10">
        <v>44735</v>
      </c>
      <c r="F5870" s="100">
        <f>SUM(J5870:L5870)</f>
        <v>336</v>
      </c>
      <c r="G5870" s="100">
        <f>SUM(Table3[[#This Row],[Kim Dệt Ngày]:[Kim Khác Đêm]])</f>
        <v>0</v>
      </c>
      <c r="H5870" s="10">
        <v>44757</v>
      </c>
      <c r="I5870" s="10">
        <v>44761</v>
      </c>
      <c r="J5870" s="9">
        <f>60+60+48+24</f>
        <v>192</v>
      </c>
      <c r="K5870" s="9"/>
      <c r="L5870" s="9">
        <f>72+72</f>
        <v>144</v>
      </c>
      <c r="M5870" s="11"/>
      <c r="N5870" s="11"/>
      <c r="O5870" s="9"/>
      <c r="P5870" s="9"/>
      <c r="Q5870" s="9"/>
    </row>
    <row r="5871" spans="1:17" ht="14.5" hidden="1" customHeight="1" x14ac:dyDescent="0.35">
      <c r="A5871" s="9" t="s">
        <v>63</v>
      </c>
      <c r="B5871" s="9" t="s">
        <v>2151</v>
      </c>
      <c r="C5871" s="9" t="s">
        <v>2155</v>
      </c>
      <c r="D5871" s="9"/>
      <c r="E5871" s="10">
        <v>44735</v>
      </c>
      <c r="F5871" s="100">
        <f>SUM(J5871:L5871)</f>
        <v>108</v>
      </c>
      <c r="G5871" s="100">
        <f>SUM(Table3[[#This Row],[Kim Dệt Ngày]:[Kim Khác Đêm]])</f>
        <v>0</v>
      </c>
      <c r="H5871" s="10">
        <v>44751</v>
      </c>
      <c r="I5871" s="10">
        <v>44753</v>
      </c>
      <c r="J5871" s="9">
        <f>24+24</f>
        <v>48</v>
      </c>
      <c r="K5871" s="9"/>
      <c r="L5871" s="9">
        <f>60</f>
        <v>60</v>
      </c>
      <c r="M5871" s="11"/>
      <c r="N5871" s="11"/>
      <c r="O5871" s="9"/>
      <c r="P5871" s="9"/>
      <c r="Q5871" s="9"/>
    </row>
    <row r="5872" spans="1:17" ht="14.5" hidden="1" customHeight="1" x14ac:dyDescent="0.35">
      <c r="A5872" s="9" t="s">
        <v>63</v>
      </c>
      <c r="B5872" s="9" t="s">
        <v>2151</v>
      </c>
      <c r="C5872" s="9" t="s">
        <v>2154</v>
      </c>
      <c r="D5872" s="9"/>
      <c r="E5872" s="10">
        <v>44735</v>
      </c>
      <c r="F5872" s="100">
        <f>SUM(J5872:L5872)</f>
        <v>132</v>
      </c>
      <c r="G5872" s="100">
        <f>SUM(Table3[[#This Row],[Kim Dệt Ngày]:[Kim Khác Đêm]])</f>
        <v>0</v>
      </c>
      <c r="H5872" s="10">
        <v>44755</v>
      </c>
      <c r="I5872" s="10">
        <v>44755</v>
      </c>
      <c r="J5872" s="9">
        <f>60</f>
        <v>60</v>
      </c>
      <c r="K5872" s="9"/>
      <c r="L5872" s="9">
        <f>72</f>
        <v>72</v>
      </c>
      <c r="M5872" s="11"/>
      <c r="N5872" s="11"/>
      <c r="O5872" s="9"/>
      <c r="P5872" s="9"/>
      <c r="Q5872" s="9"/>
    </row>
    <row r="5873" spans="1:17" ht="14.5" hidden="1" customHeight="1" x14ac:dyDescent="0.35">
      <c r="A5873" s="9" t="s">
        <v>63</v>
      </c>
      <c r="B5873" s="9" t="s">
        <v>2151</v>
      </c>
      <c r="C5873" s="9" t="s">
        <v>2153</v>
      </c>
      <c r="D5873" s="9"/>
      <c r="E5873" s="10">
        <v>44735</v>
      </c>
      <c r="F5873" s="100">
        <f>SUM(J5873:L5873)</f>
        <v>108</v>
      </c>
      <c r="G5873" s="100">
        <f>SUM(Table3[[#This Row],[Kim Dệt Ngày]:[Kim Khác Đêm]])</f>
        <v>0</v>
      </c>
      <c r="H5873" s="10">
        <v>44753</v>
      </c>
      <c r="I5873" s="10">
        <v>44754</v>
      </c>
      <c r="J5873" s="9"/>
      <c r="K5873" s="9"/>
      <c r="L5873" s="9">
        <f>60+48</f>
        <v>108</v>
      </c>
      <c r="M5873" s="11"/>
      <c r="N5873" s="11"/>
      <c r="O5873" s="9"/>
      <c r="P5873" s="9"/>
      <c r="Q5873" s="9"/>
    </row>
    <row r="5874" spans="1:17" ht="14.5" hidden="1" customHeight="1" x14ac:dyDescent="0.35">
      <c r="A5874" s="9" t="s">
        <v>63</v>
      </c>
      <c r="B5874" s="9" t="s">
        <v>2151</v>
      </c>
      <c r="C5874" s="9" t="s">
        <v>253</v>
      </c>
      <c r="D5874" s="9"/>
      <c r="E5874" s="10">
        <v>44735</v>
      </c>
      <c r="F5874" s="100">
        <f>SUM(J5874:L5874)</f>
        <v>108</v>
      </c>
      <c r="G5874" s="100">
        <f>SUM(Table3[[#This Row],[Kim Dệt Ngày]:[Kim Khác Đêm]])</f>
        <v>0</v>
      </c>
      <c r="H5874" s="10">
        <v>44756</v>
      </c>
      <c r="I5874" s="10">
        <v>44756</v>
      </c>
      <c r="J5874" s="9">
        <f>48</f>
        <v>48</v>
      </c>
      <c r="K5874" s="9"/>
      <c r="L5874" s="9">
        <f>60</f>
        <v>60</v>
      </c>
      <c r="M5874" s="11"/>
      <c r="N5874" s="11"/>
      <c r="O5874" s="9"/>
      <c r="P5874" s="9"/>
      <c r="Q5874" s="9"/>
    </row>
    <row r="5875" spans="1:17" ht="14.5" hidden="1" customHeight="1" x14ac:dyDescent="0.35">
      <c r="A5875" s="9" t="s">
        <v>63</v>
      </c>
      <c r="B5875" s="9" t="s">
        <v>2151</v>
      </c>
      <c r="C5875" s="9" t="s">
        <v>2785</v>
      </c>
      <c r="D5875" s="9"/>
      <c r="E5875" s="10">
        <v>44735</v>
      </c>
      <c r="F5875" s="100">
        <f>SUM(J5875:L5875)</f>
        <v>120</v>
      </c>
      <c r="G5875" s="100">
        <f>SUM(Table3[[#This Row],[Kim Dệt Ngày]:[Kim Khác Đêm]])</f>
        <v>0</v>
      </c>
      <c r="H5875" s="10">
        <v>44757</v>
      </c>
      <c r="I5875" s="10">
        <v>44763</v>
      </c>
      <c r="J5875" s="9">
        <f>36+24-24</f>
        <v>36</v>
      </c>
      <c r="K5875" s="9">
        <f>12-12</f>
        <v>0</v>
      </c>
      <c r="L5875" s="9">
        <f>72+12</f>
        <v>84</v>
      </c>
      <c r="M5875" s="11"/>
      <c r="N5875" s="11"/>
      <c r="O5875" s="9"/>
      <c r="P5875" s="9"/>
      <c r="Q5875" s="9"/>
    </row>
    <row r="5876" spans="1:17" x14ac:dyDescent="0.35">
      <c r="A5876" s="9" t="s">
        <v>103</v>
      </c>
      <c r="B5876" s="9" t="s">
        <v>2258</v>
      </c>
      <c r="C5876" s="9" t="s">
        <v>39</v>
      </c>
      <c r="D5876" s="9"/>
      <c r="E5876" s="10">
        <v>44738</v>
      </c>
      <c r="F5876" s="100">
        <f>SUM(J5876:L5876)</f>
        <v>156</v>
      </c>
      <c r="G5876" s="100">
        <f>SUM(Table3[[#This Row],[Kim Dệt Ngày]:[Kim Khác Đêm]])</f>
        <v>0</v>
      </c>
      <c r="H5876" s="10">
        <v>44747</v>
      </c>
      <c r="I5876" s="10"/>
      <c r="J5876" s="9">
        <f>24+36+12</f>
        <v>72</v>
      </c>
      <c r="K5876" s="9"/>
      <c r="L5876" s="9">
        <f>36+48</f>
        <v>84</v>
      </c>
      <c r="M5876" s="11"/>
      <c r="N5876" s="11"/>
      <c r="O5876" s="9"/>
      <c r="P5876" s="9"/>
      <c r="Q5876" s="9"/>
    </row>
    <row r="5877" spans="1:17" x14ac:dyDescent="0.35">
      <c r="A5877" s="9" t="s">
        <v>105</v>
      </c>
      <c r="B5877" s="9" t="s">
        <v>104</v>
      </c>
      <c r="C5877" s="9" t="s">
        <v>25</v>
      </c>
      <c r="D5877" s="9"/>
      <c r="E5877" s="10">
        <v>44762</v>
      </c>
      <c r="F5877" s="100">
        <f>SUM(J5877:L5877)</f>
        <v>192</v>
      </c>
      <c r="G5877" s="100">
        <f>SUM(Table3[[#This Row],[Kim Dệt Ngày]:[Kim Khác Đêm]])</f>
        <v>0</v>
      </c>
      <c r="H5877" s="10">
        <v>44762</v>
      </c>
      <c r="I5877" s="10"/>
      <c r="J5877" s="9">
        <f>24+48</f>
        <v>72</v>
      </c>
      <c r="K5877" s="9"/>
      <c r="L5877" s="9">
        <f>60+60</f>
        <v>120</v>
      </c>
      <c r="M5877" s="11"/>
      <c r="N5877" s="11"/>
      <c r="O5877" s="9"/>
      <c r="P5877" s="9"/>
      <c r="Q5877" s="9"/>
    </row>
    <row r="5878" spans="1:17" x14ac:dyDescent="0.35">
      <c r="A5878" s="9" t="s">
        <v>93</v>
      </c>
      <c r="B5878" s="9" t="s">
        <v>1691</v>
      </c>
      <c r="C5878" s="9" t="s">
        <v>25</v>
      </c>
      <c r="D5878" s="9"/>
      <c r="E5878" s="10">
        <v>44749</v>
      </c>
      <c r="F5878" s="100">
        <f>SUM(J5878:L5878)</f>
        <v>24</v>
      </c>
      <c r="G5878" s="100">
        <f>SUM(Table3[[#This Row],[Kim Dệt Ngày]:[Kim Khác Đêm]])</f>
        <v>0</v>
      </c>
      <c r="H5878" s="10">
        <v>44763</v>
      </c>
      <c r="I5878" s="10"/>
      <c r="J5878" s="9">
        <f>24</f>
        <v>24</v>
      </c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 t="s">
        <v>96</v>
      </c>
      <c r="B5879" s="150" t="s">
        <v>1060</v>
      </c>
      <c r="C5879" s="9" t="s">
        <v>25</v>
      </c>
      <c r="D5879" s="9"/>
      <c r="E5879" s="10">
        <v>44756</v>
      </c>
      <c r="F5879" s="100">
        <f>SUM(J5879:L5879)</f>
        <v>72</v>
      </c>
      <c r="G5879" s="100">
        <f>SUM(Table3[[#This Row],[Kim Dệt Ngày]:[Kim Khác Đêm]])</f>
        <v>0</v>
      </c>
      <c r="H5879" s="10">
        <v>44916</v>
      </c>
      <c r="I5879" s="10"/>
      <c r="J5879" s="9"/>
      <c r="K5879" s="9"/>
      <c r="L5879" s="9">
        <f>72</f>
        <v>72</v>
      </c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28" t="s">
        <v>153</v>
      </c>
      <c r="C15" s="329"/>
      <c r="D15" s="329"/>
      <c r="E15" s="330"/>
      <c r="F15" s="19" t="s">
        <v>154</v>
      </c>
      <c r="G15" s="19" t="s">
        <v>155</v>
      </c>
      <c r="H15" s="19" t="s">
        <v>10</v>
      </c>
      <c r="I15" s="20" t="s">
        <v>15</v>
      </c>
      <c r="J15" s="329" t="s">
        <v>156</v>
      </c>
      <c r="K15" s="330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1" t="s">
        <v>173</v>
      </c>
      <c r="B1" s="331"/>
      <c r="C1" s="331" t="s">
        <v>174</v>
      </c>
      <c r="D1" s="331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2">
        <f ca="1">TODAY()</f>
        <v>44764</v>
      </c>
      <c r="AR1" s="332"/>
      <c r="AS1" s="332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1" t="s">
        <v>173</v>
      </c>
      <c r="B22" s="331"/>
      <c r="C22" s="331" t="s">
        <v>174</v>
      </c>
      <c r="D22" s="331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1" t="s">
        <v>173</v>
      </c>
      <c r="B45" s="331"/>
      <c r="C45" s="331" t="s">
        <v>174</v>
      </c>
      <c r="D45" s="331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3" t="s">
        <v>187</v>
      </c>
      <c r="AI55" s="334"/>
      <c r="AJ55" s="334"/>
      <c r="AK55" s="334"/>
      <c r="AL55" s="334"/>
      <c r="AM55" s="334"/>
      <c r="AN55" s="334"/>
      <c r="AO55" s="334"/>
      <c r="AP55" s="334"/>
      <c r="AQ55" s="334"/>
      <c r="AR55" s="334"/>
      <c r="AS55" s="334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4" t="s">
        <v>188</v>
      </c>
      <c r="AK56" s="334"/>
      <c r="AL56" s="334"/>
      <c r="AM56" s="334"/>
      <c r="AN56" s="334"/>
      <c r="AO56" s="334"/>
      <c r="AP56" s="334"/>
      <c r="AQ56" s="334"/>
      <c r="AR56" s="334"/>
      <c r="AS56" s="334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1" t="s">
        <v>173</v>
      </c>
      <c r="B69" s="331"/>
      <c r="C69" s="331" t="s">
        <v>174</v>
      </c>
      <c r="D69" s="331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44764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topLeftCell="A29" zoomScaleNormal="100" workbookViewId="0">
      <selection activeCell="E30" sqref="E30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44764</v>
      </c>
      <c r="AF1" t="s">
        <v>170</v>
      </c>
      <c r="AN1" t="s">
        <v>171</v>
      </c>
      <c r="AO1" s="332">
        <f ca="1">TODAY()</f>
        <v>44764</v>
      </c>
      <c r="AP1" s="332"/>
      <c r="AQ1" s="332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1296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44749</v>
      </c>
      <c r="Q3" s="147">
        <v>876</v>
      </c>
      <c r="R3" s="147">
        <v>0</v>
      </c>
      <c r="S3" s="98">
        <v>44750</v>
      </c>
      <c r="T3" s="98"/>
      <c r="U3" s="97">
        <v>648</v>
      </c>
      <c r="V3" s="97">
        <v>72</v>
      </c>
      <c r="W3" s="97">
        <v>156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Xám gót đen</v>
      </c>
      <c r="D4" s="9"/>
      <c r="E4" s="9"/>
      <c r="F4" s="9"/>
      <c r="G4" s="42">
        <f t="array" ref="G4">INDEX(O:T,MATCH(1,(B4=O:O)*(C4=R:R),0),6)</f>
        <v>228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2156</v>
      </c>
      <c r="N4" s="252" t="s">
        <v>2150</v>
      </c>
      <c r="O4" s="97"/>
      <c r="P4" s="98">
        <v>44735</v>
      </c>
      <c r="Q4" s="147">
        <v>228</v>
      </c>
      <c r="R4" s="147">
        <v>0</v>
      </c>
      <c r="S4" s="98">
        <v>44761</v>
      </c>
      <c r="T4" s="98"/>
      <c r="U4" s="97">
        <v>156</v>
      </c>
      <c r="V4" s="97">
        <v>72</v>
      </c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204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1687</v>
      </c>
      <c r="N5" s="97" t="s">
        <v>39</v>
      </c>
      <c r="O5" s="97"/>
      <c r="P5" s="98">
        <v>44755</v>
      </c>
      <c r="Q5" s="147">
        <v>204</v>
      </c>
      <c r="R5" s="147">
        <v>0</v>
      </c>
      <c r="S5" s="98">
        <v>44761</v>
      </c>
      <c r="T5" s="98"/>
      <c r="U5" s="97">
        <v>132</v>
      </c>
      <c r="V5" s="97">
        <v>72</v>
      </c>
      <c r="W5" s="97"/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528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28</v>
      </c>
      <c r="O6" s="97"/>
      <c r="P6" s="98">
        <v>44742</v>
      </c>
      <c r="Q6" s="147">
        <v>60</v>
      </c>
      <c r="R6" s="147">
        <v>0</v>
      </c>
      <c r="S6" s="98">
        <v>44763</v>
      </c>
      <c r="T6" s="98"/>
      <c r="U6" s="97">
        <v>48</v>
      </c>
      <c r="V6" s="97">
        <v>12</v>
      </c>
      <c r="W6" s="97"/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Đen</v>
      </c>
      <c r="D7" s="9"/>
      <c r="E7" s="9"/>
      <c r="F7" s="9"/>
      <c r="G7" s="42">
        <f t="array" ref="G7">INDEX(O:T,MATCH(1,(B7=O:O)*(C7=R:R),0),6)</f>
        <v>384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18</v>
      </c>
      <c r="O7" s="97"/>
      <c r="P7" s="98">
        <v>44749</v>
      </c>
      <c r="Q7" s="147">
        <v>384</v>
      </c>
      <c r="R7" s="147">
        <v>0</v>
      </c>
      <c r="S7" s="98">
        <v>44760</v>
      </c>
      <c r="T7" s="98"/>
      <c r="U7" s="97">
        <v>252</v>
      </c>
      <c r="V7" s="97">
        <v>108</v>
      </c>
      <c r="W7" s="97">
        <v>24</v>
      </c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Tommy Hài</v>
      </c>
      <c r="C8" s="9" t="str">
        <f t="shared" si="0"/>
        <v>Đen</v>
      </c>
      <c r="D8" s="9"/>
      <c r="E8" s="9"/>
      <c r="F8" s="9"/>
      <c r="G8" s="42">
        <f t="array" ref="G8">INDEX(O:T,MATCH(1,(B8=O:O)*(C8=R:R),0),6)</f>
        <v>288</v>
      </c>
      <c r="H8" s="42">
        <f t="array" ref="H8">INDEX(O:T,MATCH(1,(B8=O:O)*(C8=R:R),0),5)</f>
        <v>360</v>
      </c>
      <c r="I8" s="42"/>
      <c r="J8" s="9"/>
      <c r="L8" s="97" t="s">
        <v>29</v>
      </c>
      <c r="M8" s="323" t="s">
        <v>24</v>
      </c>
      <c r="N8" s="97" t="s">
        <v>18</v>
      </c>
      <c r="O8" s="97"/>
      <c r="P8" s="98">
        <v>44756</v>
      </c>
      <c r="Q8" s="147">
        <v>288</v>
      </c>
      <c r="R8" s="147">
        <v>0</v>
      </c>
      <c r="S8" s="98">
        <v>44761</v>
      </c>
      <c r="T8" s="98"/>
      <c r="U8" s="97">
        <v>132</v>
      </c>
      <c r="V8" s="97">
        <v>132</v>
      </c>
      <c r="W8" s="97">
        <v>24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Đen</v>
      </c>
      <c r="D9" s="9"/>
      <c r="E9" s="9"/>
      <c r="F9" s="9"/>
      <c r="G9" s="42">
        <f t="array" ref="G9">INDEX(O:T,MATCH(1,(B9=O:O)*(C9=R:R),0),6)</f>
        <v>264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234</v>
      </c>
      <c r="N9" s="97" t="s">
        <v>18</v>
      </c>
      <c r="O9" s="97"/>
      <c r="P9" s="98">
        <v>44754</v>
      </c>
      <c r="Q9" s="147">
        <v>264</v>
      </c>
      <c r="R9" s="147">
        <v>0</v>
      </c>
      <c r="S9" s="98">
        <v>44761</v>
      </c>
      <c r="T9" s="98"/>
      <c r="U9" s="97">
        <v>132</v>
      </c>
      <c r="V9" s="97">
        <v>120</v>
      </c>
      <c r="W9" s="97">
        <v>12</v>
      </c>
      <c r="X9" s="99"/>
      <c r="Y9" s="99"/>
      <c r="Z9" s="97"/>
      <c r="AA9" s="97"/>
      <c r="AB9" s="97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324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2603</v>
      </c>
      <c r="N10" s="97" t="s">
        <v>39</v>
      </c>
      <c r="O10" s="97"/>
      <c r="P10" s="98">
        <v>44760</v>
      </c>
      <c r="Q10" s="147">
        <v>324</v>
      </c>
      <c r="R10" s="147">
        <v>0</v>
      </c>
      <c r="S10" s="98">
        <v>44761</v>
      </c>
      <c r="T10" s="98"/>
      <c r="U10" s="97">
        <v>228</v>
      </c>
      <c r="V10" s="97">
        <v>96</v>
      </c>
      <c r="W10" s="97"/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324</v>
      </c>
      <c r="H11" s="42">
        <f t="array" ref="H11">INDEX(O:T,MATCH(1,(B11=O:O)*(C11=R:R),0),5)</f>
        <v>360</v>
      </c>
      <c r="I11" s="42"/>
      <c r="J11" s="9"/>
      <c r="L11" s="97" t="s">
        <v>35</v>
      </c>
      <c r="M11" s="97" t="s">
        <v>2603</v>
      </c>
      <c r="N11" s="97" t="s">
        <v>18</v>
      </c>
      <c r="O11" s="97"/>
      <c r="P11" s="98">
        <v>44760</v>
      </c>
      <c r="Q11" s="147">
        <v>324</v>
      </c>
      <c r="R11" s="147">
        <v>0</v>
      </c>
      <c r="S11" s="98">
        <v>44761</v>
      </c>
      <c r="T11" s="98"/>
      <c r="U11" s="97">
        <v>204</v>
      </c>
      <c r="V11" s="97">
        <v>120</v>
      </c>
      <c r="W11" s="97"/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 đậm</v>
      </c>
      <c r="D12" s="9"/>
      <c r="E12" s="9"/>
      <c r="F12" s="9"/>
      <c r="G12" s="42">
        <f t="array" ref="G12">INDEX(O:T,MATCH(1,(B12=O:O)*(C12=R:R),0),6)</f>
        <v>60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25</v>
      </c>
      <c r="O12" s="97"/>
      <c r="P12" s="98">
        <v>44756</v>
      </c>
      <c r="Q12" s="147">
        <v>60</v>
      </c>
      <c r="R12" s="147">
        <v>0</v>
      </c>
      <c r="S12" s="98">
        <v>44763</v>
      </c>
      <c r="T12" s="98"/>
      <c r="U12" s="97">
        <v>48</v>
      </c>
      <c r="V12" s="97">
        <v>12</v>
      </c>
      <c r="W12" s="97"/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VHD Hài Bẹt 08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204</v>
      </c>
      <c r="H13" s="42">
        <f t="array" ref="H13">INDEX(O:T,MATCH(1,(B13=O:O)*(C13=R:R),0),5)</f>
        <v>400</v>
      </c>
      <c r="I13" s="42"/>
      <c r="J13" s="9"/>
      <c r="L13" s="97" t="s">
        <v>38</v>
      </c>
      <c r="M13" s="97" t="s">
        <v>1230</v>
      </c>
      <c r="N13" s="97" t="s">
        <v>39</v>
      </c>
      <c r="O13" s="97"/>
      <c r="P13" s="98">
        <v>44759</v>
      </c>
      <c r="Q13" s="147">
        <v>204</v>
      </c>
      <c r="R13" s="147">
        <v>0</v>
      </c>
      <c r="S13" s="98">
        <v>44761</v>
      </c>
      <c r="T13" s="98"/>
      <c r="U13" s="97">
        <v>144</v>
      </c>
      <c r="V13" s="97">
        <v>60</v>
      </c>
      <c r="W13" s="97"/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VHD Hài Bẹt 08</v>
      </c>
      <c r="C14" s="9" t="str">
        <f t="shared" si="0"/>
        <v>Xám</v>
      </c>
      <c r="D14" s="9"/>
      <c r="E14" s="9"/>
      <c r="F14" s="9"/>
      <c r="G14" s="42">
        <f t="array" ref="G14">INDEX(O:T,MATCH(1,(B14=O:O)*(C14=R:R),0),6)</f>
        <v>204</v>
      </c>
      <c r="H14" s="42">
        <f t="array" ref="H14">INDEX(O:T,MATCH(1,(B14=O:O)*(C14=R:R),0),5)</f>
        <v>400</v>
      </c>
      <c r="I14" s="42"/>
      <c r="J14" s="9"/>
      <c r="L14" s="97" t="s">
        <v>40</v>
      </c>
      <c r="M14" s="97" t="s">
        <v>1230</v>
      </c>
      <c r="N14" s="97" t="s">
        <v>39</v>
      </c>
      <c r="O14" s="97"/>
      <c r="P14" s="98">
        <v>44759</v>
      </c>
      <c r="Q14" s="147">
        <v>0</v>
      </c>
      <c r="R14" s="147">
        <v>0</v>
      </c>
      <c r="S14" s="98">
        <v>44761</v>
      </c>
      <c r="T14" s="98"/>
      <c r="U14" s="97"/>
      <c r="V14" s="97"/>
      <c r="W14" s="97"/>
      <c r="X14" s="99"/>
      <c r="Y14" s="99"/>
      <c r="Z14" s="97"/>
      <c r="AA14" s="97"/>
      <c r="AB14" s="97"/>
      <c r="AF14" s="9" t="s">
        <v>38</v>
      </c>
      <c r="AG14" s="9" t="str">
        <f t="shared" si="2"/>
        <v>VHD Hài Bẹt 08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97" t="s">
        <v>2791</v>
      </c>
      <c r="N15" s="97" t="s">
        <v>18</v>
      </c>
      <c r="O15" s="97"/>
      <c r="P15" s="98">
        <v>44758</v>
      </c>
      <c r="Q15" s="147">
        <v>240</v>
      </c>
      <c r="R15" s="147">
        <v>0</v>
      </c>
      <c r="S15" s="98">
        <v>44760</v>
      </c>
      <c r="T15" s="98"/>
      <c r="U15" s="97">
        <v>180</v>
      </c>
      <c r="V15" s="97">
        <v>60</v>
      </c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VHD Hài Bẹt 08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44753</v>
      </c>
      <c r="Q16" s="147">
        <v>1068</v>
      </c>
      <c r="R16" s="147">
        <v>0</v>
      </c>
      <c r="S16" s="98">
        <v>44754</v>
      </c>
      <c r="T16" s="98"/>
      <c r="U16" s="97">
        <v>708</v>
      </c>
      <c r="V16" s="97">
        <v>108</v>
      </c>
      <c r="W16" s="97">
        <v>252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2080</v>
      </c>
      <c r="N17" s="97" t="s">
        <v>39</v>
      </c>
      <c r="O17" s="97"/>
      <c r="P17" s="98">
        <v>44760</v>
      </c>
      <c r="Q17" s="147">
        <v>264</v>
      </c>
      <c r="R17" s="147">
        <v>0</v>
      </c>
      <c r="S17" s="98">
        <v>44761</v>
      </c>
      <c r="T17" s="98"/>
      <c r="U17" s="97">
        <v>180</v>
      </c>
      <c r="V17" s="97">
        <v>84</v>
      </c>
      <c r="W17" s="97"/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2080</v>
      </c>
      <c r="N18" s="97" t="s">
        <v>28</v>
      </c>
      <c r="O18" s="97"/>
      <c r="P18" s="98">
        <v>44755</v>
      </c>
      <c r="Q18" s="147">
        <v>624</v>
      </c>
      <c r="R18" s="147">
        <v>0</v>
      </c>
      <c r="S18" s="98">
        <v>44756</v>
      </c>
      <c r="T18" s="98"/>
      <c r="U18" s="97">
        <v>360</v>
      </c>
      <c r="V18" s="97">
        <v>72</v>
      </c>
      <c r="W18" s="97">
        <v>192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44753</v>
      </c>
      <c r="Q19" s="147">
        <v>1116</v>
      </c>
      <c r="R19" s="147">
        <v>0</v>
      </c>
      <c r="S19" s="98">
        <v>44754</v>
      </c>
      <c r="T19" s="98"/>
      <c r="U19" s="97">
        <v>612</v>
      </c>
      <c r="V19" s="97">
        <v>84</v>
      </c>
      <c r="W19" s="97">
        <v>420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2080</v>
      </c>
      <c r="N20" s="97" t="s">
        <v>39</v>
      </c>
      <c r="O20" s="97"/>
      <c r="P20" s="98">
        <v>44760</v>
      </c>
      <c r="Q20" s="147">
        <v>192</v>
      </c>
      <c r="R20" s="147">
        <v>0</v>
      </c>
      <c r="S20" s="98">
        <v>44761</v>
      </c>
      <c r="T20" s="98"/>
      <c r="U20" s="97">
        <v>120</v>
      </c>
      <c r="V20" s="97">
        <v>72</v>
      </c>
      <c r="W20" s="97"/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1510</v>
      </c>
      <c r="N21" s="97" t="s">
        <v>25</v>
      </c>
      <c r="O21" s="97"/>
      <c r="P21" s="98">
        <v>44754</v>
      </c>
      <c r="Q21" s="147">
        <v>144</v>
      </c>
      <c r="R21" s="147">
        <v>0</v>
      </c>
      <c r="S21" s="98">
        <v>44760</v>
      </c>
      <c r="T21" s="98"/>
      <c r="U21" s="97">
        <v>120</v>
      </c>
      <c r="V21" s="97">
        <v>24</v>
      </c>
      <c r="W21" s="97"/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18</v>
      </c>
      <c r="O22" s="97"/>
      <c r="P22" s="98">
        <v>44754</v>
      </c>
      <c r="Q22" s="147">
        <v>384</v>
      </c>
      <c r="R22" s="147">
        <v>0</v>
      </c>
      <c r="S22" s="98">
        <v>44758</v>
      </c>
      <c r="T22" s="98"/>
      <c r="U22" s="97">
        <v>228</v>
      </c>
      <c r="V22" s="97">
        <v>84</v>
      </c>
      <c r="W22" s="97">
        <v>72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1442</v>
      </c>
      <c r="N23" s="97" t="s">
        <v>39</v>
      </c>
      <c r="O23" s="97"/>
      <c r="P23" s="98">
        <v>44754</v>
      </c>
      <c r="Q23" s="147">
        <v>300</v>
      </c>
      <c r="R23" s="147">
        <v>0</v>
      </c>
      <c r="S23" s="98">
        <v>44760</v>
      </c>
      <c r="T23" s="98"/>
      <c r="U23" s="97">
        <v>216</v>
      </c>
      <c r="V23" s="97">
        <v>84</v>
      </c>
      <c r="W23" s="97"/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1442</v>
      </c>
      <c r="N24" s="97" t="s">
        <v>28</v>
      </c>
      <c r="O24" s="97"/>
      <c r="P24" s="98">
        <v>44754</v>
      </c>
      <c r="Q24" s="147">
        <v>96</v>
      </c>
      <c r="R24" s="147">
        <v>0</v>
      </c>
      <c r="S24" s="98">
        <v>44762</v>
      </c>
      <c r="T24" s="98"/>
      <c r="U24" s="97">
        <v>84</v>
      </c>
      <c r="V24" s="97">
        <v>12</v>
      </c>
      <c r="W24" s="97"/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2243</v>
      </c>
      <c r="N25" s="97" t="s">
        <v>28</v>
      </c>
      <c r="O25" s="97"/>
      <c r="P25" s="98">
        <v>44760</v>
      </c>
      <c r="Q25" s="147">
        <v>204</v>
      </c>
      <c r="R25" s="147">
        <v>0</v>
      </c>
      <c r="S25" s="98">
        <v>44761</v>
      </c>
      <c r="T25" s="98"/>
      <c r="U25" s="97">
        <v>144</v>
      </c>
      <c r="V25" s="97">
        <v>60</v>
      </c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2243</v>
      </c>
      <c r="N26" s="97" t="s">
        <v>25</v>
      </c>
      <c r="O26" s="97"/>
      <c r="P26" s="98">
        <v>44760</v>
      </c>
      <c r="Q26" s="147">
        <v>216</v>
      </c>
      <c r="R26" s="147">
        <v>0</v>
      </c>
      <c r="S26" s="98">
        <v>44761</v>
      </c>
      <c r="T26" s="98"/>
      <c r="U26" s="97">
        <v>156</v>
      </c>
      <c r="V26" s="97">
        <v>60</v>
      </c>
      <c r="W26" s="97"/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18</v>
      </c>
      <c r="O27" s="97"/>
      <c r="P27" s="98">
        <v>44756</v>
      </c>
      <c r="Q27" s="147">
        <v>264</v>
      </c>
      <c r="R27" s="147">
        <v>0</v>
      </c>
      <c r="S27" s="98">
        <v>44760</v>
      </c>
      <c r="T27" s="98"/>
      <c r="U27" s="97">
        <v>192</v>
      </c>
      <c r="V27" s="97">
        <v>72</v>
      </c>
      <c r="W27" s="97"/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240</v>
      </c>
      <c r="H28" s="42">
        <f t="array" ref="H28">INDEX(O:T,MATCH(1,(B28=O:O)*(C28=R:R),0),5)</f>
        <v>500</v>
      </c>
      <c r="I28" s="42"/>
      <c r="J28" s="9"/>
      <c r="L28" s="97" t="s">
        <v>60</v>
      </c>
      <c r="M28" s="323" t="s">
        <v>2243</v>
      </c>
      <c r="N28" s="97" t="s">
        <v>18</v>
      </c>
      <c r="O28" s="97"/>
      <c r="P28" s="98">
        <v>44760</v>
      </c>
      <c r="Q28" s="147">
        <v>204</v>
      </c>
      <c r="R28" s="147">
        <v>0</v>
      </c>
      <c r="S28" s="98">
        <v>44761</v>
      </c>
      <c r="T28" s="98"/>
      <c r="U28" s="97">
        <v>144</v>
      </c>
      <c r="V28" s="97">
        <v>60</v>
      </c>
      <c r="W28" s="97"/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1068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196</v>
      </c>
      <c r="N29" s="253" t="s">
        <v>18</v>
      </c>
      <c r="O29" s="269"/>
      <c r="P29" s="98">
        <v>44758</v>
      </c>
      <c r="Q29" s="147">
        <v>0</v>
      </c>
      <c r="R29" s="147">
        <v>0</v>
      </c>
      <c r="S29" s="98">
        <v>44764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1056</v>
      </c>
      <c r="H30" s="42">
        <f t="array" ref="H30">INDEX(O:T,MATCH(1,(B30=O:O)*(C30=R:R),0),5)</f>
        <v>600</v>
      </c>
      <c r="I30" s="42"/>
      <c r="J30" s="9"/>
      <c r="L30" s="97" t="s">
        <v>63</v>
      </c>
      <c r="M30" s="97" t="s">
        <v>2151</v>
      </c>
      <c r="N30" s="97" t="s">
        <v>2808</v>
      </c>
      <c r="O30" s="97"/>
      <c r="P30" s="98">
        <v>44735</v>
      </c>
      <c r="Q30" s="147">
        <v>36</v>
      </c>
      <c r="R30" s="147">
        <v>0</v>
      </c>
      <c r="S30" s="98">
        <v>44763</v>
      </c>
      <c r="T30" s="98"/>
      <c r="U30" s="97">
        <v>24</v>
      </c>
      <c r="V30" s="97">
        <v>12</v>
      </c>
      <c r="W30" s="97"/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624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18</v>
      </c>
      <c r="O31" s="97"/>
      <c r="P31" s="98">
        <v>44750</v>
      </c>
      <c r="Q31" s="147">
        <v>444</v>
      </c>
      <c r="R31" s="147">
        <v>0</v>
      </c>
      <c r="S31" s="98">
        <v>44757</v>
      </c>
      <c r="T31" s="98"/>
      <c r="U31" s="97">
        <v>288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1116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196</v>
      </c>
      <c r="N32" s="97" t="s">
        <v>18</v>
      </c>
      <c r="O32" s="97"/>
      <c r="P32" s="98">
        <v>44758</v>
      </c>
      <c r="Q32" s="147">
        <v>84</v>
      </c>
      <c r="R32" s="147">
        <v>0</v>
      </c>
      <c r="S32" s="98">
        <v>44762</v>
      </c>
      <c r="T32" s="98"/>
      <c r="U32" s="97">
        <v>36</v>
      </c>
      <c r="V32" s="97">
        <v>48</v>
      </c>
      <c r="W32" s="97"/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1056</v>
      </c>
      <c r="H33" s="42">
        <f t="array" ref="H33">INDEX(O:T,MATCH(1,(B33=O:O)*(C33=R:R),0),5)</f>
        <v>600</v>
      </c>
      <c r="I33" s="42"/>
      <c r="J33" s="9"/>
      <c r="L33" s="97" t="s">
        <v>68</v>
      </c>
      <c r="M33" s="97" t="s">
        <v>424</v>
      </c>
      <c r="N33" s="97" t="s">
        <v>131</v>
      </c>
      <c r="O33" s="97"/>
      <c r="P33" s="98">
        <v>44761</v>
      </c>
      <c r="Q33" s="147">
        <v>144</v>
      </c>
      <c r="R33" s="147">
        <v>0</v>
      </c>
      <c r="S33" s="98">
        <v>44763</v>
      </c>
      <c r="T33" s="98"/>
      <c r="U33" s="97"/>
      <c r="V33" s="97">
        <v>24</v>
      </c>
      <c r="W33" s="97">
        <v>120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 đậm</v>
      </c>
      <c r="D34" s="9"/>
      <c r="E34" s="9"/>
      <c r="F34" s="9"/>
      <c r="G34" s="42">
        <f t="array" ref="G34">INDEX(O:T,MATCH(1,(B34=O:O)*(C34=R:R),0),6)</f>
        <v>144</v>
      </c>
      <c r="H34" s="42">
        <f t="array" ref="H34">INDEX(O:T,MATCH(1,(B34=O:O)*(C34=R:R),0),5)</f>
        <v>360</v>
      </c>
      <c r="I34" s="42"/>
      <c r="J34" s="9"/>
      <c r="L34" s="97" t="s">
        <v>70</v>
      </c>
      <c r="M34" s="97" t="s">
        <v>2806</v>
      </c>
      <c r="N34" s="97" t="s">
        <v>131</v>
      </c>
      <c r="O34" s="97"/>
      <c r="P34" s="98">
        <v>44761</v>
      </c>
      <c r="Q34" s="147">
        <v>108</v>
      </c>
      <c r="R34" s="147">
        <v>0</v>
      </c>
      <c r="S34" s="98">
        <v>44763</v>
      </c>
      <c r="T34" s="98"/>
      <c r="U34" s="97"/>
      <c r="V34" s="97"/>
      <c r="W34" s="97">
        <v>108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432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323" t="s">
        <v>429</v>
      </c>
      <c r="N35" s="97" t="s">
        <v>79</v>
      </c>
      <c r="O35" s="97"/>
      <c r="P35" s="98">
        <v>44761</v>
      </c>
      <c r="Q35" s="147">
        <v>444</v>
      </c>
      <c r="R35" s="147">
        <v>0</v>
      </c>
      <c r="S35" s="98">
        <v>44762</v>
      </c>
      <c r="T35" s="98"/>
      <c r="U35" s="97">
        <v>156</v>
      </c>
      <c r="V35" s="97">
        <v>72</v>
      </c>
      <c r="W35" s="97">
        <v>216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Xám</v>
      </c>
      <c r="D36" s="9"/>
      <c r="E36" s="9"/>
      <c r="F36" s="9"/>
      <c r="G36" s="42">
        <f t="array" ref="G36">INDEX(O:T,MATCH(1,(B36=O:O)*(C36=R:R),0),6)</f>
        <v>300</v>
      </c>
      <c r="H36" s="42">
        <f t="array" ref="H36">INDEX(O:T,MATCH(1,(B36=O:O)*(C36=R:R),0),5)</f>
        <v>240</v>
      </c>
      <c r="I36" s="42"/>
      <c r="J36" s="9"/>
      <c r="L36" s="97" t="s">
        <v>72</v>
      </c>
      <c r="M36" s="97" t="s">
        <v>2787</v>
      </c>
      <c r="N36" s="97" t="s">
        <v>25</v>
      </c>
      <c r="O36" s="97"/>
      <c r="P36" s="98">
        <v>44757</v>
      </c>
      <c r="Q36" s="147">
        <v>84</v>
      </c>
      <c r="R36" s="147">
        <v>0</v>
      </c>
      <c r="S36" s="98">
        <v>44763</v>
      </c>
      <c r="T36" s="98"/>
      <c r="U36" s="97">
        <v>24</v>
      </c>
      <c r="V36" s="97"/>
      <c r="W36" s="97">
        <v>60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Trắng</v>
      </c>
      <c r="D37" s="9"/>
      <c r="E37" s="9"/>
      <c r="F37" s="9"/>
      <c r="G37" s="42">
        <f t="array" ref="G37">INDEX(O:T,MATCH(1,(B37=O:O)*(C37=R:R),0),6)</f>
        <v>96</v>
      </c>
      <c r="H37" s="42">
        <f t="array" ref="H37">INDEX(O:T,MATCH(1,(B37=O:O)*(C37=R:R),0),5)</f>
        <v>240</v>
      </c>
      <c r="I37" s="42"/>
      <c r="J37" s="9"/>
      <c r="L37" s="97" t="s">
        <v>74</v>
      </c>
      <c r="M37" s="97" t="s">
        <v>1413</v>
      </c>
      <c r="N37" s="97" t="s">
        <v>18</v>
      </c>
      <c r="O37" s="97"/>
      <c r="P37" s="98">
        <v>44753</v>
      </c>
      <c r="Q37" s="147">
        <v>180</v>
      </c>
      <c r="R37" s="147">
        <v>0</v>
      </c>
      <c r="S37" s="98">
        <v>44762</v>
      </c>
      <c r="T37" s="98"/>
      <c r="U37" s="97">
        <v>72</v>
      </c>
      <c r="V37" s="97"/>
      <c r="W37" s="97">
        <v>108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504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18</v>
      </c>
      <c r="O38" s="97"/>
      <c r="P38" s="98">
        <v>44750</v>
      </c>
      <c r="Q38" s="147">
        <v>924</v>
      </c>
      <c r="R38" s="147">
        <v>0</v>
      </c>
      <c r="S38" s="98">
        <v>44756</v>
      </c>
      <c r="T38" s="98"/>
      <c r="U38" s="97">
        <v>336</v>
      </c>
      <c r="V38" s="97"/>
      <c r="W38" s="97">
        <v>588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216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97" t="s">
        <v>1600</v>
      </c>
      <c r="N39" s="97" t="s">
        <v>39</v>
      </c>
      <c r="O39" s="97"/>
      <c r="P39" s="98">
        <v>44762</v>
      </c>
      <c r="Q39" s="147">
        <v>180</v>
      </c>
      <c r="R39" s="147">
        <v>0</v>
      </c>
      <c r="S39" s="98">
        <v>44763</v>
      </c>
      <c r="T39" s="98"/>
      <c r="U39" s="97">
        <v>72</v>
      </c>
      <c r="V39" s="97"/>
      <c r="W39" s="97">
        <v>108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Đen</v>
      </c>
      <c r="D40" s="9"/>
      <c r="E40" s="9"/>
      <c r="F40" s="9"/>
      <c r="G40" s="42">
        <f t="array" ref="G40">INDEX(O:T,MATCH(1,(B40=O:O)*(C40=R:R),0),6)</f>
        <v>264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231</v>
      </c>
      <c r="N40" s="97" t="s">
        <v>28</v>
      </c>
      <c r="O40" s="97"/>
      <c r="P40" s="98">
        <v>44757</v>
      </c>
      <c r="Q40" s="147"/>
      <c r="R40" s="147">
        <v>0</v>
      </c>
      <c r="S40" s="98">
        <v>44763</v>
      </c>
      <c r="T40" s="98"/>
      <c r="U40" s="97"/>
      <c r="V40" s="97"/>
      <c r="W40" s="97">
        <v>84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204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28</v>
      </c>
      <c r="O41" s="97"/>
      <c r="P41" s="98">
        <v>44736</v>
      </c>
      <c r="Q41" s="147">
        <v>1188</v>
      </c>
      <c r="R41" s="147">
        <v>0</v>
      </c>
      <c r="S41" s="98">
        <v>44753</v>
      </c>
      <c r="T41" s="98"/>
      <c r="U41" s="97">
        <v>576</v>
      </c>
      <c r="V41" s="97"/>
      <c r="W41" s="97">
        <v>612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97" t="s">
        <v>2080</v>
      </c>
      <c r="N42" s="97" t="s">
        <v>39</v>
      </c>
      <c r="O42" s="97"/>
      <c r="P42" s="98">
        <v>44760</v>
      </c>
      <c r="Q42" s="147">
        <v>600</v>
      </c>
      <c r="R42" s="147">
        <v>0</v>
      </c>
      <c r="S42" s="98">
        <v>44761</v>
      </c>
      <c r="T42" s="98"/>
      <c r="U42" s="97">
        <v>264</v>
      </c>
      <c r="V42" s="97"/>
      <c r="W42" s="97">
        <v>336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28</v>
      </c>
      <c r="O43" s="97"/>
      <c r="P43" s="98">
        <v>44736</v>
      </c>
      <c r="Q43" s="147">
        <v>1164</v>
      </c>
      <c r="R43" s="147">
        <v>0</v>
      </c>
      <c r="S43" s="98">
        <v>44753</v>
      </c>
      <c r="T43" s="98"/>
      <c r="U43" s="97">
        <v>564</v>
      </c>
      <c r="V43" s="97"/>
      <c r="W43" s="97">
        <v>600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252" t="s">
        <v>2133</v>
      </c>
      <c r="N44" s="97" t="s">
        <v>132</v>
      </c>
      <c r="O44" s="97"/>
      <c r="P44" s="98">
        <v>44760</v>
      </c>
      <c r="Q44" s="147">
        <v>180</v>
      </c>
      <c r="R44" s="147">
        <v>0</v>
      </c>
      <c r="S44" s="98">
        <v>44762</v>
      </c>
      <c r="T44" s="98"/>
      <c r="U44" s="97">
        <v>120</v>
      </c>
      <c r="V44" s="97">
        <v>60</v>
      </c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88</v>
      </c>
      <c r="M45" s="97" t="s">
        <v>2590</v>
      </c>
      <c r="N45" s="97" t="s">
        <v>28</v>
      </c>
      <c r="O45" s="97"/>
      <c r="P45" s="98">
        <v>44762</v>
      </c>
      <c r="Q45" s="147">
        <v>140</v>
      </c>
      <c r="R45" s="147">
        <v>0</v>
      </c>
      <c r="S45" s="98">
        <v>44762</v>
      </c>
      <c r="T45" s="98"/>
      <c r="U45" s="97">
        <v>90</v>
      </c>
      <c r="V45" s="97">
        <v>50</v>
      </c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90</v>
      </c>
      <c r="M46" s="97" t="s">
        <v>1070</v>
      </c>
      <c r="N46" s="97" t="s">
        <v>39</v>
      </c>
      <c r="O46" s="97"/>
      <c r="P46" s="98">
        <v>44731</v>
      </c>
      <c r="Q46" s="147">
        <v>540</v>
      </c>
      <c r="R46" s="147">
        <v>0</v>
      </c>
      <c r="S46" s="98">
        <v>44755</v>
      </c>
      <c r="T46" s="98"/>
      <c r="U46" s="97">
        <v>348</v>
      </c>
      <c r="V46" s="97">
        <v>48</v>
      </c>
      <c r="W46" s="97">
        <v>144</v>
      </c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91</v>
      </c>
      <c r="M47" s="252" t="s">
        <v>1071</v>
      </c>
      <c r="N47" s="97" t="s">
        <v>28</v>
      </c>
      <c r="O47" s="97"/>
      <c r="P47" s="98">
        <v>44736</v>
      </c>
      <c r="Q47" s="147">
        <v>0</v>
      </c>
      <c r="R47" s="147">
        <v>0</v>
      </c>
      <c r="S47" s="98">
        <v>44743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2603</v>
      </c>
      <c r="N48" s="97" t="s">
        <v>25</v>
      </c>
      <c r="O48" s="97"/>
      <c r="P48" s="98">
        <v>44760</v>
      </c>
      <c r="Q48" s="147">
        <v>300</v>
      </c>
      <c r="R48" s="147">
        <v>0</v>
      </c>
      <c r="S48" s="98">
        <v>44761</v>
      </c>
      <c r="T48" s="98"/>
      <c r="U48" s="97">
        <v>120</v>
      </c>
      <c r="V48" s="97">
        <v>48</v>
      </c>
      <c r="W48" s="97">
        <v>132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2603</v>
      </c>
      <c r="N49" s="97" t="s">
        <v>79</v>
      </c>
      <c r="O49" s="97"/>
      <c r="P49" s="98">
        <v>44760</v>
      </c>
      <c r="Q49" s="147">
        <v>420</v>
      </c>
      <c r="R49" s="147">
        <v>0</v>
      </c>
      <c r="S49" s="98">
        <v>44761</v>
      </c>
      <c r="T49" s="98"/>
      <c r="U49" s="97">
        <v>168</v>
      </c>
      <c r="V49" s="97">
        <v>36</v>
      </c>
      <c r="W49" s="97">
        <v>216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97</v>
      </c>
      <c r="M50" s="97" t="s">
        <v>2243</v>
      </c>
      <c r="N50" s="97" t="s">
        <v>28</v>
      </c>
      <c r="O50" s="97"/>
      <c r="P50" s="98">
        <v>44760</v>
      </c>
      <c r="Q50" s="147">
        <v>300</v>
      </c>
      <c r="R50" s="147">
        <v>0</v>
      </c>
      <c r="S50" s="98">
        <v>44761</v>
      </c>
      <c r="T50" s="98"/>
      <c r="U50" s="97">
        <v>144</v>
      </c>
      <c r="V50" s="97"/>
      <c r="W50" s="97">
        <v>156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98</v>
      </c>
      <c r="M51" s="97" t="s">
        <v>2603</v>
      </c>
      <c r="N51" s="97" t="s">
        <v>28</v>
      </c>
      <c r="O51" s="97"/>
      <c r="P51" s="98">
        <v>44760</v>
      </c>
      <c r="Q51" s="147">
        <v>276</v>
      </c>
      <c r="R51" s="147">
        <v>0</v>
      </c>
      <c r="S51" s="98">
        <v>44761</v>
      </c>
      <c r="T51" s="98"/>
      <c r="U51" s="97">
        <v>132</v>
      </c>
      <c r="V51" s="97"/>
      <c r="W51" s="97">
        <v>144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100</v>
      </c>
      <c r="M52" s="97" t="s">
        <v>2603</v>
      </c>
      <c r="N52" s="97" t="s">
        <v>25</v>
      </c>
      <c r="O52" s="97"/>
      <c r="P52" s="98">
        <v>44760</v>
      </c>
      <c r="Q52" s="147">
        <v>0</v>
      </c>
      <c r="R52" s="147">
        <v>0</v>
      </c>
      <c r="S52" s="98">
        <v>44743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101</v>
      </c>
      <c r="M53" s="97" t="s">
        <v>2603</v>
      </c>
      <c r="N53" s="97" t="s">
        <v>28</v>
      </c>
      <c r="O53" s="97"/>
      <c r="P53" s="98">
        <v>44760</v>
      </c>
      <c r="Q53" s="147">
        <v>276</v>
      </c>
      <c r="R53" s="147">
        <v>0</v>
      </c>
      <c r="S53" s="98">
        <v>44761</v>
      </c>
      <c r="T53" s="98"/>
      <c r="U53" s="97">
        <v>132</v>
      </c>
      <c r="V53" s="97"/>
      <c r="W53" s="97">
        <v>144</v>
      </c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102</v>
      </c>
      <c r="M54" s="97" t="s">
        <v>256</v>
      </c>
      <c r="N54" s="97" t="s">
        <v>99</v>
      </c>
      <c r="O54" s="97"/>
      <c r="P54" s="98">
        <v>44762</v>
      </c>
      <c r="Q54" s="147">
        <v>84</v>
      </c>
      <c r="R54" s="147">
        <v>0</v>
      </c>
      <c r="S54" s="98">
        <v>44762</v>
      </c>
      <c r="T54" s="98"/>
      <c r="U54" s="97">
        <v>36</v>
      </c>
      <c r="V54" s="97"/>
      <c r="W54" s="97">
        <v>48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103</v>
      </c>
      <c r="M55" s="97" t="s">
        <v>2258</v>
      </c>
      <c r="N55" s="97" t="s">
        <v>39</v>
      </c>
      <c r="O55" s="97"/>
      <c r="P55" s="98">
        <v>44738</v>
      </c>
      <c r="Q55" s="147">
        <v>156</v>
      </c>
      <c r="R55" s="147">
        <v>0</v>
      </c>
      <c r="S55" s="98">
        <v>44747</v>
      </c>
      <c r="T55" s="98"/>
      <c r="U55" s="97">
        <v>72</v>
      </c>
      <c r="V55" s="97"/>
      <c r="W55" s="97">
        <v>84</v>
      </c>
      <c r="X55" s="99"/>
      <c r="Y55" s="99"/>
      <c r="Z55" s="97"/>
      <c r="AA55" s="97"/>
      <c r="AB55" s="97"/>
      <c r="AF55" s="333" t="s">
        <v>187</v>
      </c>
      <c r="AG55" s="334"/>
      <c r="AH55" s="334"/>
      <c r="AI55" s="334"/>
      <c r="AJ55" s="334"/>
      <c r="AK55" s="334"/>
      <c r="AL55" s="334"/>
      <c r="AM55" s="334"/>
      <c r="AN55" s="334"/>
      <c r="AO55" s="334"/>
      <c r="AP55" s="334"/>
      <c r="AQ55" s="334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104</v>
      </c>
      <c r="N56" s="97" t="s">
        <v>25</v>
      </c>
      <c r="O56" s="97"/>
      <c r="P56" s="98">
        <v>44762</v>
      </c>
      <c r="Q56" s="147">
        <v>192</v>
      </c>
      <c r="R56" s="147">
        <v>0</v>
      </c>
      <c r="S56" s="98">
        <v>44762</v>
      </c>
      <c r="T56" s="98"/>
      <c r="U56" s="97">
        <v>72</v>
      </c>
      <c r="V56" s="97"/>
      <c r="W56" s="97">
        <v>120</v>
      </c>
      <c r="X56" s="99"/>
      <c r="Y56" s="99"/>
      <c r="Z56" s="97"/>
      <c r="AA56" s="97"/>
      <c r="AB56" s="97"/>
      <c r="AF56" s="49"/>
      <c r="AG56" s="50"/>
      <c r="AH56" s="334" t="s">
        <v>188</v>
      </c>
      <c r="AI56" s="334"/>
      <c r="AJ56" s="334"/>
      <c r="AK56" s="334"/>
      <c r="AL56" s="334"/>
      <c r="AM56" s="334"/>
      <c r="AN56" s="334"/>
      <c r="AO56" s="334"/>
      <c r="AP56" s="334"/>
      <c r="AQ56" s="334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Gò công Trung</v>
      </c>
      <c r="C57" s="9" t="str">
        <f t="shared" ref="C57:C71" si="7">IF(ISNA(VLOOKUP(A57,$L:$N,3,FALSE)),"---",VLOOKUP(A57,$L:$N,3,FALSE))</f>
        <v>Đen</v>
      </c>
      <c r="D57" s="9"/>
      <c r="E57" s="9"/>
      <c r="F57" s="9"/>
      <c r="G57" s="42">
        <f t="array" ref="G57">INDEX(O:T,MATCH(1,(B57=O:O)*(C57=R:R),0),6)</f>
        <v>84</v>
      </c>
      <c r="H57" s="42">
        <f t="array" ref="H57">INDEX(O:T,MATCH(1,(B57=O:O)*(C57=R:R),0),5)</f>
        <v>500</v>
      </c>
      <c r="I57" s="42"/>
      <c r="J57" s="9"/>
      <c r="L57" s="97" t="s">
        <v>93</v>
      </c>
      <c r="M57" s="97" t="s">
        <v>1691</v>
      </c>
      <c r="N57" s="97" t="s">
        <v>25</v>
      </c>
      <c r="O57" s="97"/>
      <c r="P57" s="98">
        <v>44749</v>
      </c>
      <c r="Q57" s="147">
        <v>24</v>
      </c>
      <c r="R57" s="147">
        <v>0</v>
      </c>
      <c r="S57" s="98">
        <v>44763</v>
      </c>
      <c r="T57" s="98"/>
      <c r="U57" s="97">
        <v>24</v>
      </c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Đen-vàng</v>
      </c>
      <c r="D58" s="9"/>
      <c r="E58" s="9"/>
      <c r="F58" s="9"/>
      <c r="G58" s="42">
        <f t="array" ref="G58">INDEX(O:T,MATCH(1,(B58=O:O)*(C58=R:R),0),6)</f>
        <v>36</v>
      </c>
      <c r="H58" s="42">
        <f t="array" ref="H58">INDEX(O:T,MATCH(1,(B58=O:O)*(C58=R:R),0),5)</f>
        <v>100</v>
      </c>
      <c r="I58" s="42"/>
      <c r="J58" s="9"/>
      <c r="L58" s="97" t="s">
        <v>96</v>
      </c>
      <c r="M58" s="323" t="s">
        <v>1060</v>
      </c>
      <c r="N58" s="97" t="s">
        <v>25</v>
      </c>
      <c r="O58" s="97"/>
      <c r="P58" s="98">
        <v>44756</v>
      </c>
      <c r="Q58" s="147">
        <v>72</v>
      </c>
      <c r="R58" s="147">
        <v>0</v>
      </c>
      <c r="S58" s="98">
        <v>44916</v>
      </c>
      <c r="T58" s="98"/>
      <c r="U58" s="97"/>
      <c r="V58" s="97"/>
      <c r="W58" s="97">
        <v>72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Gò công Trung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444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Gò công Trung</v>
      </c>
      <c r="C60" s="9" t="str">
        <f t="shared" si="7"/>
        <v>Đen</v>
      </c>
      <c r="D60" s="9"/>
      <c r="E60" s="9"/>
      <c r="F60" s="9"/>
      <c r="G60" s="42">
        <f t="array" ref="G60">INDEX(O:T,MATCH(1,(B60=O:O)*(C60=R:R),0),6)</f>
        <v>84</v>
      </c>
      <c r="H60" s="42">
        <f t="array" ref="H60">INDEX(O:T,MATCH(1,(B60=O:O)*(C60=R:R),0),5)</f>
        <v>500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Lớn</v>
      </c>
      <c r="C61" s="9" t="str">
        <f t="shared" si="7"/>
        <v>Cam</v>
      </c>
      <c r="D61" s="9"/>
      <c r="E61" s="9"/>
      <c r="F61" s="9"/>
      <c r="G61" s="42">
        <f t="array" ref="G61">INDEX(O:T,MATCH(1,(B61=O:O)*(C61=R:R),0),6)</f>
        <v>252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Gò công Trung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Lớn</v>
      </c>
      <c r="C62" s="9" t="str">
        <f t="shared" si="7"/>
        <v>Cam</v>
      </c>
      <c r="D62" s="9"/>
      <c r="E62" s="9"/>
      <c r="F62" s="9"/>
      <c r="G62" s="42">
        <f t="array" ref="G62">INDEX(O:T,MATCH(1,(B62=O:O)*(C62=R:R),0),6)</f>
        <v>252</v>
      </c>
      <c r="H62" s="42">
        <f t="array" ref="H62">INDEX(O:T,MATCH(1,(B62=O:O)*(C62=R:R),0),5)</f>
        <v>500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Cheer Trung</v>
      </c>
      <c r="C63" s="9" t="str">
        <f t="shared" si="7"/>
        <v>Xanh đen</v>
      </c>
      <c r="D63" s="9"/>
      <c r="E63" s="9"/>
      <c r="F63" s="9"/>
      <c r="G63" s="42">
        <f t="array" ref="G63">INDEX(O:T,MATCH(1,(B63=O:O)*(C63=R:R),0),6)</f>
        <v>444</v>
      </c>
      <c r="H63" s="42">
        <f t="array" ref="H63">INDEX(O:T,MATCH(1,(B63=O:O)*(C63=R:R),0),5)</f>
        <v>500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Lớn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Tomy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84</v>
      </c>
      <c r="H64" s="42">
        <f t="array" ref="H64">INDEX(O:T,MATCH(1,(B64=O:O)*(C64=R:R),0),5)</f>
        <v>360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Cheer Trung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180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924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180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CK NC</v>
      </c>
      <c r="C68" s="9" t="str">
        <f t="shared" si="7"/>
        <v>Trắng</v>
      </c>
      <c r="D68" s="9"/>
      <c r="E68" s="9"/>
      <c r="F68" s="9"/>
      <c r="G68" s="42">
        <f t="array" ref="G68">INDEX(O:T,MATCH(1,(B68=O:O)*(C68=R:R),0),6)</f>
        <v>0</v>
      </c>
      <c r="H68" s="42">
        <f t="array" ref="H68">INDEX(O:T,MATCH(1,(B68=O:O)*(C68=R:R),0),5)</f>
        <v>240</v>
      </c>
      <c r="I68" s="42"/>
      <c r="J68" s="9"/>
      <c r="N68" s="252" t="s">
        <v>2773</v>
      </c>
      <c r="O68" s="327" t="s">
        <v>1442</v>
      </c>
      <c r="P68" s="253">
        <v>44754</v>
      </c>
      <c r="Q68" s="254"/>
      <c r="R68" s="252" t="s">
        <v>39</v>
      </c>
      <c r="S68" s="255">
        <v>240</v>
      </c>
      <c r="T68" s="255">
        <v>300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1524</v>
      </c>
      <c r="H69" s="42">
        <f t="array" ref="H69">INDEX(O:T,MATCH(1,(B69=O:O)*(C69=R:R),0),5)</f>
        <v>600</v>
      </c>
      <c r="I69" s="42"/>
      <c r="J69" s="9"/>
      <c r="N69" s="252" t="s">
        <v>2773</v>
      </c>
      <c r="O69" s="252" t="s">
        <v>1442</v>
      </c>
      <c r="P69" s="253">
        <v>44754</v>
      </c>
      <c r="Q69" s="254"/>
      <c r="R69" s="252" t="s">
        <v>28</v>
      </c>
      <c r="S69" s="255">
        <v>240</v>
      </c>
      <c r="T69" s="255">
        <v>96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1056</v>
      </c>
      <c r="H70" s="42">
        <f t="array" ref="H70">INDEX(O:T,MATCH(1,(B70=O:O)*(C70=R:R),0),5)</f>
        <v>600</v>
      </c>
      <c r="I70" s="42"/>
      <c r="J70" s="9"/>
      <c r="N70" s="252" t="s">
        <v>2776</v>
      </c>
      <c r="O70" s="252" t="s">
        <v>1687</v>
      </c>
      <c r="P70" s="253">
        <v>44755</v>
      </c>
      <c r="Q70" s="254"/>
      <c r="R70" s="252" t="s">
        <v>39</v>
      </c>
      <c r="S70" s="255">
        <v>240</v>
      </c>
      <c r="T70" s="255">
        <v>204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1476</v>
      </c>
      <c r="H71" s="42">
        <f t="array" ref="H71">INDEX(O:T,MATCH(1,(B71=O:O)*(C71=R:R),0),5)</f>
        <v>600</v>
      </c>
      <c r="I71" s="42"/>
      <c r="J71" s="9"/>
      <c r="N71" s="252" t="s">
        <v>2754</v>
      </c>
      <c r="O71" s="317" t="s">
        <v>1691</v>
      </c>
      <c r="P71" s="253">
        <v>44749</v>
      </c>
      <c r="Q71" s="254"/>
      <c r="R71" s="252" t="s">
        <v>25</v>
      </c>
      <c r="S71" s="255">
        <v>360</v>
      </c>
      <c r="T71" s="255">
        <v>24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2804</v>
      </c>
      <c r="O72" s="97" t="s">
        <v>256</v>
      </c>
      <c r="P72" s="253">
        <v>44762</v>
      </c>
      <c r="Q72" s="269"/>
      <c r="R72" s="252" t="s">
        <v>99</v>
      </c>
      <c r="S72" s="255">
        <v>600</v>
      </c>
      <c r="T72" s="255">
        <v>84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2756</v>
      </c>
      <c r="O73" s="97" t="s">
        <v>1198</v>
      </c>
      <c r="P73" s="253">
        <v>44749</v>
      </c>
      <c r="Q73" s="254"/>
      <c r="R73" s="274" t="s">
        <v>18</v>
      </c>
      <c r="S73" s="255">
        <v>360</v>
      </c>
      <c r="T73" s="255">
        <v>384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2792</v>
      </c>
      <c r="O74" s="97" t="s">
        <v>2791</v>
      </c>
      <c r="P74" s="253">
        <v>44758</v>
      </c>
      <c r="Q74" s="269"/>
      <c r="R74" s="252" t="s">
        <v>18</v>
      </c>
      <c r="S74" s="255">
        <v>500</v>
      </c>
      <c r="T74" s="255">
        <v>240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2762</v>
      </c>
      <c r="O75" s="97" t="s">
        <v>1113</v>
      </c>
      <c r="P75" s="253">
        <v>44750</v>
      </c>
      <c r="Q75" s="254"/>
      <c r="R75" s="252" t="s">
        <v>18</v>
      </c>
      <c r="S75" s="255">
        <v>600</v>
      </c>
      <c r="T75" s="255">
        <v>924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2786</v>
      </c>
      <c r="O76" s="252" t="s">
        <v>231</v>
      </c>
      <c r="P76" s="253">
        <v>44757</v>
      </c>
      <c r="Q76" s="254"/>
      <c r="R76" s="252" t="s">
        <v>28</v>
      </c>
      <c r="S76" s="255">
        <v>240</v>
      </c>
      <c r="T76" s="255">
        <v>0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2781</v>
      </c>
      <c r="O77" s="97" t="s">
        <v>1060</v>
      </c>
      <c r="P77" s="253">
        <v>44756</v>
      </c>
      <c r="Q77" s="254"/>
      <c r="R77" s="252" t="s">
        <v>25</v>
      </c>
      <c r="S77" s="255">
        <v>360</v>
      </c>
      <c r="T77" s="255">
        <v>72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2799</v>
      </c>
      <c r="O78" s="317" t="s">
        <v>429</v>
      </c>
      <c r="P78" s="253">
        <v>44761</v>
      </c>
      <c r="Q78" s="269"/>
      <c r="R78" s="252" t="s">
        <v>79</v>
      </c>
      <c r="S78" s="255">
        <v>500</v>
      </c>
      <c r="T78" s="255">
        <v>444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Xanh biển</v>
      </c>
      <c r="D79" s="9"/>
      <c r="E79" s="9"/>
      <c r="F79" s="9"/>
      <c r="G79" s="42">
        <f t="array" ref="G79">INDEX(O:T,MATCH(1,(B79=O:O)*(C79=R:R),0),6)</f>
        <v>180</v>
      </c>
      <c r="H79" s="42">
        <f t="array" ref="H79">INDEX(O:T,MATCH(1,(B79=O:O)*(C79=R:R),0),5)</f>
        <v>240</v>
      </c>
      <c r="I79" s="42"/>
      <c r="J79" s="9"/>
      <c r="N79" s="252" t="s">
        <v>2770</v>
      </c>
      <c r="O79" s="97" t="s">
        <v>1413</v>
      </c>
      <c r="P79" s="253">
        <v>44753</v>
      </c>
      <c r="Q79" s="254"/>
      <c r="R79" s="252" t="s">
        <v>18</v>
      </c>
      <c r="S79" s="255">
        <v>360</v>
      </c>
      <c r="T79" s="255">
        <v>180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140</v>
      </c>
      <c r="H80" s="42">
        <f t="array" ref="H80">INDEX(O:T,MATCH(1,(B80=O:O)*(C80=R:R),0),5)</f>
        <v>300</v>
      </c>
      <c r="I80" s="42"/>
      <c r="J80" s="9"/>
      <c r="M80" s="53"/>
      <c r="N80" s="252" t="s">
        <v>2745</v>
      </c>
      <c r="O80" s="97" t="s">
        <v>1421</v>
      </c>
      <c r="P80" s="253">
        <v>44742</v>
      </c>
      <c r="Q80" s="254"/>
      <c r="R80" s="252" t="s">
        <v>28</v>
      </c>
      <c r="S80" s="255">
        <v>240</v>
      </c>
      <c r="T80" s="255">
        <v>528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Thú CC Mèo Hello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900</v>
      </c>
      <c r="H81" s="42">
        <f t="array" ref="H81">INDEX(O:T,MATCH(1,(B81=O:O)*(C81=R:R),0),5)</f>
        <v>600</v>
      </c>
      <c r="I81" s="42"/>
      <c r="J81" s="9"/>
      <c r="N81" s="252" t="s">
        <v>2732</v>
      </c>
      <c r="O81" s="97" t="s">
        <v>2258</v>
      </c>
      <c r="P81" s="253">
        <v>44738</v>
      </c>
      <c r="Q81" s="269"/>
      <c r="R81" s="252" t="s">
        <v>39</v>
      </c>
      <c r="S81" s="255">
        <v>3257</v>
      </c>
      <c r="T81" s="255">
        <v>3336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1476</v>
      </c>
      <c r="H82" s="42">
        <f t="array" ref="H82">INDEX(O:T,MATCH(1,(B82=O:O)*(C82=R:R),0),5)</f>
        <v>600</v>
      </c>
      <c r="I82" s="42"/>
      <c r="J82" s="9"/>
      <c r="N82" s="252" t="s">
        <v>2793</v>
      </c>
      <c r="O82" s="97" t="s">
        <v>196</v>
      </c>
      <c r="P82" s="253">
        <v>44758</v>
      </c>
      <c r="Q82" s="269"/>
      <c r="R82" s="252" t="s">
        <v>18</v>
      </c>
      <c r="S82" s="255">
        <v>500</v>
      </c>
      <c r="T82" s="255">
        <v>84</v>
      </c>
      <c r="U82" s="255">
        <v>2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Xám đậm</v>
      </c>
      <c r="D83" s="9"/>
      <c r="E83" s="9"/>
      <c r="F83" s="9"/>
      <c r="G83" s="42">
        <f t="array" ref="G83">INDEX(O:T,MATCH(1,(B83=O:O)*(C83=R:R),0),6)</f>
        <v>24</v>
      </c>
      <c r="H83" s="42">
        <f t="array" ref="H83">INDEX(O:T,MATCH(1,(B83=O:O)*(C83=R:R),0),5)</f>
        <v>360</v>
      </c>
      <c r="I83" s="42"/>
      <c r="J83" s="9"/>
      <c r="N83" s="252" t="s">
        <v>2807</v>
      </c>
      <c r="O83" s="327" t="s">
        <v>424</v>
      </c>
      <c r="P83" s="253">
        <v>44762</v>
      </c>
      <c r="Q83" s="269"/>
      <c r="R83" s="252" t="s">
        <v>131</v>
      </c>
      <c r="S83" s="255">
        <v>500</v>
      </c>
      <c r="T83" s="255">
        <v>252</v>
      </c>
      <c r="U83" s="255">
        <v>2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300</v>
      </c>
      <c r="H84" s="42">
        <f t="array" ref="H84">INDEX(O:T,MATCH(1,(B84=O:O)*(C84=R:R),0),5)</f>
        <v>360</v>
      </c>
      <c r="I84" s="42"/>
      <c r="J84" s="9"/>
      <c r="N84" s="252" t="s">
        <v>2761</v>
      </c>
      <c r="O84" s="97" t="s">
        <v>1146</v>
      </c>
      <c r="P84" s="253">
        <v>44750</v>
      </c>
      <c r="Q84" s="269"/>
      <c r="R84" s="252" t="s">
        <v>18</v>
      </c>
      <c r="S84" s="255">
        <v>600</v>
      </c>
      <c r="T84" s="255">
        <v>444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420</v>
      </c>
      <c r="H85" s="42">
        <f t="array" ref="H85">INDEX(O:T,MATCH(1,(B85=O:O)*(C85=R:R),0),5)</f>
        <v>240</v>
      </c>
      <c r="I85" s="42"/>
      <c r="J85" s="9"/>
      <c r="N85" s="252" t="s">
        <v>2768</v>
      </c>
      <c r="O85" s="97" t="s">
        <v>582</v>
      </c>
      <c r="P85" s="253">
        <v>44753</v>
      </c>
      <c r="Q85" s="254"/>
      <c r="R85" s="252" t="s">
        <v>28</v>
      </c>
      <c r="S85" s="255">
        <v>600</v>
      </c>
      <c r="T85" s="255">
        <v>1068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 đậm</v>
      </c>
      <c r="D86" s="9"/>
      <c r="E86" s="9"/>
      <c r="F86" s="9"/>
      <c r="G86" s="42">
        <f t="array" ref="G86">INDEX(O:T,MATCH(1,(B86=O:O)*(C86=R:R),0),6)</f>
        <v>72</v>
      </c>
      <c r="H86" s="42">
        <f t="array" ref="H86">INDEX(O:T,MATCH(1,(B86=O:O)*(C86=R:R),0),5)</f>
        <v>360</v>
      </c>
      <c r="I86" s="42"/>
      <c r="J86" s="9"/>
      <c r="N86" s="252" t="s">
        <v>2768</v>
      </c>
      <c r="O86" s="317" t="s">
        <v>772</v>
      </c>
      <c r="P86" s="253">
        <v>44753</v>
      </c>
      <c r="Q86" s="254"/>
      <c r="R86" s="252" t="s">
        <v>28</v>
      </c>
      <c r="S86" s="255">
        <v>600</v>
      </c>
      <c r="T86" s="255">
        <v>1116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504</v>
      </c>
      <c r="H87" s="42">
        <f t="array" ref="H87">INDEX(O:T,MATCH(1,(B87=O:O)*(C87=R:R),0),5)</f>
        <v>240</v>
      </c>
      <c r="I87" s="42"/>
      <c r="J87" s="9"/>
      <c r="N87" s="252" t="s">
        <v>2797</v>
      </c>
      <c r="O87" s="97" t="s">
        <v>2080</v>
      </c>
      <c r="P87" s="253">
        <v>44760</v>
      </c>
      <c r="Q87" s="254"/>
      <c r="R87" s="252" t="s">
        <v>39</v>
      </c>
      <c r="S87" s="255">
        <v>600</v>
      </c>
      <c r="T87" s="255">
        <v>1056</v>
      </c>
      <c r="U87" s="255">
        <v>3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552</v>
      </c>
      <c r="H88" s="42">
        <f t="array" ref="H88">INDEX(O:T,MATCH(1,(B88=O:O)*(C88=R:R),0),5)</f>
        <v>240</v>
      </c>
      <c r="I88" s="42"/>
      <c r="J88" s="9"/>
      <c r="N88" s="252" t="s">
        <v>2779</v>
      </c>
      <c r="O88" s="97" t="s">
        <v>2080</v>
      </c>
      <c r="P88" s="253">
        <v>44755</v>
      </c>
      <c r="Q88" s="254"/>
      <c r="R88" s="252" t="s">
        <v>28</v>
      </c>
      <c r="S88" s="255">
        <v>1200</v>
      </c>
      <c r="T88" s="255">
        <v>624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300</v>
      </c>
      <c r="H89" s="42">
        <f t="array" ref="H89">INDEX(O:T,MATCH(1,(B89=O:O)*(C89=R:R),0),5)</f>
        <v>360</v>
      </c>
      <c r="I89" s="42"/>
      <c r="J89" s="9"/>
      <c r="N89" s="252" t="s">
        <v>2801</v>
      </c>
      <c r="O89" s="97" t="s">
        <v>234</v>
      </c>
      <c r="P89" s="253">
        <v>44754</v>
      </c>
      <c r="Q89" s="269"/>
      <c r="R89" s="252" t="s">
        <v>18</v>
      </c>
      <c r="S89" s="255">
        <v>600</v>
      </c>
      <c r="T89" s="255">
        <v>264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552</v>
      </c>
      <c r="H90" s="42">
        <f t="array" ref="H90">INDEX(O:T,MATCH(1,(B90=O:O)*(C90=R:R),0),5)</f>
        <v>240</v>
      </c>
      <c r="I90" s="42"/>
      <c r="J90" s="9"/>
      <c r="N90" s="252" t="s">
        <v>2774</v>
      </c>
      <c r="O90" s="252" t="s">
        <v>1510</v>
      </c>
      <c r="P90" s="253">
        <v>44754</v>
      </c>
      <c r="Q90" s="254"/>
      <c r="R90" s="252" t="s">
        <v>25</v>
      </c>
      <c r="S90" s="255">
        <v>360</v>
      </c>
      <c r="T90" s="255">
        <v>144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Bộ đội Sọc</v>
      </c>
      <c r="C91" s="9" t="str">
        <f t="shared" si="10"/>
        <v>Bộ đội</v>
      </c>
      <c r="D91" s="9"/>
      <c r="E91" s="9"/>
      <c r="F91" s="9"/>
      <c r="G91" s="42">
        <f t="array" ref="G91">INDEX(O:T,MATCH(1,(B91=O:O)*(C91=R:R),0),6)</f>
        <v>84</v>
      </c>
      <c r="H91" s="42">
        <f t="array" ref="H91">INDEX(O:T,MATCH(1,(B91=O:O)*(C91=R:R),0),5)</f>
        <v>600</v>
      </c>
      <c r="I91" s="42"/>
      <c r="J91" s="9"/>
      <c r="N91" s="252" t="s">
        <v>2774</v>
      </c>
      <c r="O91" s="327" t="s">
        <v>1510</v>
      </c>
      <c r="P91" s="253">
        <v>44754</v>
      </c>
      <c r="Q91" s="254"/>
      <c r="R91" s="252" t="s">
        <v>18</v>
      </c>
      <c r="S91" s="255">
        <v>360</v>
      </c>
      <c r="T91" s="255">
        <v>432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TH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52" t="s">
        <v>2800</v>
      </c>
      <c r="O92" s="252" t="s">
        <v>1600</v>
      </c>
      <c r="P92" s="253">
        <v>44762</v>
      </c>
      <c r="Q92" s="254"/>
      <c r="R92" s="252" t="s">
        <v>39</v>
      </c>
      <c r="S92" s="255">
        <v>360</v>
      </c>
      <c r="T92" s="255">
        <v>180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Bộ đội Sọc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Tommy NC Viền 2 Su</v>
      </c>
      <c r="C93" s="9" t="str">
        <f t="shared" si="10"/>
        <v>Xám đậm</v>
      </c>
      <c r="D93" s="9"/>
      <c r="E93" s="9"/>
      <c r="F93" s="9"/>
      <c r="G93" s="42">
        <f t="array" ref="G93">INDEX(O:T,MATCH(1,(B93=O:O)*(C93=R:R),0),6)</f>
        <v>192</v>
      </c>
      <c r="H93" s="42">
        <f t="array" ref="H93">INDEX(O:T,MATCH(1,(B93=O:O)*(C93=R:R),0),5)</f>
        <v>360</v>
      </c>
      <c r="I93" s="42"/>
      <c r="J93" s="9"/>
      <c r="N93" s="252" t="s">
        <v>2798</v>
      </c>
      <c r="O93" s="317" t="s">
        <v>1438</v>
      </c>
      <c r="P93" s="253">
        <v>44760</v>
      </c>
      <c r="Q93" s="254"/>
      <c r="R93" s="252" t="s">
        <v>28</v>
      </c>
      <c r="S93" s="255">
        <v>240</v>
      </c>
      <c r="T93" s="255">
        <v>504</v>
      </c>
      <c r="U93" s="255">
        <v>2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2798</v>
      </c>
      <c r="O94" s="97" t="s">
        <v>1438</v>
      </c>
      <c r="P94" s="253">
        <v>44760</v>
      </c>
      <c r="Q94" s="254"/>
      <c r="R94" s="252" t="s">
        <v>25</v>
      </c>
      <c r="S94" s="255">
        <v>360</v>
      </c>
      <c r="T94" s="255">
        <v>216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Tommy NC Viền 2 Su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2798</v>
      </c>
      <c r="O95" s="97" t="s">
        <v>1438</v>
      </c>
      <c r="P95" s="253">
        <v>44760</v>
      </c>
      <c r="Q95" s="254"/>
      <c r="R95" s="252" t="s">
        <v>18</v>
      </c>
      <c r="S95" s="255">
        <v>360</v>
      </c>
      <c r="T95" s="255">
        <v>204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2802</v>
      </c>
      <c r="O96" s="327" t="s">
        <v>2590</v>
      </c>
      <c r="P96" s="253">
        <v>44762</v>
      </c>
      <c r="Q96" s="269"/>
      <c r="R96" s="252" t="s">
        <v>28</v>
      </c>
      <c r="S96" s="255">
        <v>300</v>
      </c>
      <c r="T96" s="255">
        <v>140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2782</v>
      </c>
      <c r="O97" s="317" t="s">
        <v>30</v>
      </c>
      <c r="P97" s="253">
        <v>44756</v>
      </c>
      <c r="Q97" s="254"/>
      <c r="R97" s="252" t="s">
        <v>18</v>
      </c>
      <c r="S97" s="255">
        <v>360</v>
      </c>
      <c r="T97" s="255">
        <v>264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2782</v>
      </c>
      <c r="O98" s="97" t="s">
        <v>30</v>
      </c>
      <c r="P98" s="253">
        <v>44756</v>
      </c>
      <c r="Q98" s="254"/>
      <c r="R98" s="252" t="s">
        <v>25</v>
      </c>
      <c r="S98" s="255">
        <v>360</v>
      </c>
      <c r="T98" s="255">
        <v>60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2784</v>
      </c>
      <c r="O99" s="327" t="s">
        <v>24</v>
      </c>
      <c r="P99" s="253">
        <v>44756</v>
      </c>
      <c r="Q99" s="254"/>
      <c r="R99" s="252" t="s">
        <v>18</v>
      </c>
      <c r="S99" s="255">
        <v>360</v>
      </c>
      <c r="T99" s="255">
        <v>288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2803</v>
      </c>
      <c r="O100" s="252" t="s">
        <v>104</v>
      </c>
      <c r="P100" s="253">
        <v>44762</v>
      </c>
      <c r="Q100" s="254"/>
      <c r="R100" s="252" t="s">
        <v>25</v>
      </c>
      <c r="S100" s="255">
        <v>360</v>
      </c>
      <c r="T100" s="255">
        <v>192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2788</v>
      </c>
      <c r="O101" s="317" t="s">
        <v>2787</v>
      </c>
      <c r="P101" s="253">
        <v>44757</v>
      </c>
      <c r="Q101" s="269"/>
      <c r="R101" s="252" t="s">
        <v>25</v>
      </c>
      <c r="S101" s="255">
        <v>360</v>
      </c>
      <c r="T101" s="255">
        <v>84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2727</v>
      </c>
      <c r="O102" s="97" t="s">
        <v>1071</v>
      </c>
      <c r="P102" s="253">
        <v>44736</v>
      </c>
      <c r="Q102" s="254"/>
      <c r="R102" s="252" t="s">
        <v>28</v>
      </c>
      <c r="S102" s="255">
        <v>600</v>
      </c>
      <c r="T102" s="255">
        <v>1476</v>
      </c>
      <c r="U102" s="255">
        <v>2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2753</v>
      </c>
      <c r="O103" s="97" t="s">
        <v>1070</v>
      </c>
      <c r="P103" s="253">
        <v>44749</v>
      </c>
      <c r="Q103" s="254"/>
      <c r="R103" s="252" t="s">
        <v>18</v>
      </c>
      <c r="S103" s="255">
        <v>600</v>
      </c>
      <c r="T103" s="255">
        <v>1296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2728</v>
      </c>
      <c r="O104" s="97" t="s">
        <v>1070</v>
      </c>
      <c r="P104" s="253">
        <v>44736</v>
      </c>
      <c r="Q104" s="254"/>
      <c r="R104" s="252" t="s">
        <v>28</v>
      </c>
      <c r="S104" s="255">
        <v>600</v>
      </c>
      <c r="T104" s="255">
        <v>1524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2713</v>
      </c>
      <c r="O105" s="97" t="s">
        <v>1070</v>
      </c>
      <c r="P105" s="253">
        <v>44731</v>
      </c>
      <c r="Q105" s="254"/>
      <c r="R105" s="252" t="s">
        <v>39</v>
      </c>
      <c r="S105" s="255">
        <v>600</v>
      </c>
      <c r="T105" s="255">
        <v>900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2796</v>
      </c>
      <c r="O106" s="97" t="s">
        <v>2222</v>
      </c>
      <c r="P106" s="253">
        <v>44760</v>
      </c>
      <c r="Q106" s="254"/>
      <c r="R106" s="252" t="s">
        <v>39</v>
      </c>
      <c r="S106" s="255">
        <v>240</v>
      </c>
      <c r="T106" s="255">
        <v>324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2796</v>
      </c>
      <c r="O107" s="97" t="s">
        <v>2222</v>
      </c>
      <c r="P107" s="253">
        <v>44760</v>
      </c>
      <c r="Q107" s="254"/>
      <c r="R107" s="252" t="s">
        <v>18</v>
      </c>
      <c r="S107" s="255">
        <v>360</v>
      </c>
      <c r="T107" s="255">
        <v>324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2796</v>
      </c>
      <c r="O108" s="97" t="s">
        <v>2222</v>
      </c>
      <c r="P108" s="253">
        <v>44760</v>
      </c>
      <c r="Q108" s="254"/>
      <c r="R108" s="252" t="s">
        <v>25</v>
      </c>
      <c r="S108" s="255">
        <v>360</v>
      </c>
      <c r="T108" s="255">
        <v>300</v>
      </c>
      <c r="U108" s="255">
        <v>2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2796</v>
      </c>
      <c r="O109" s="317" t="s">
        <v>2222</v>
      </c>
      <c r="P109" s="253">
        <v>44760</v>
      </c>
      <c r="Q109" s="254"/>
      <c r="R109" s="252" t="s">
        <v>28</v>
      </c>
      <c r="S109" s="255">
        <v>240</v>
      </c>
      <c r="T109" s="255">
        <v>552</v>
      </c>
      <c r="U109" s="255">
        <v>2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2796</v>
      </c>
      <c r="O110" s="317" t="s">
        <v>2222</v>
      </c>
      <c r="P110" s="253">
        <v>44760</v>
      </c>
      <c r="Q110" s="254"/>
      <c r="R110" s="252" t="s">
        <v>79</v>
      </c>
      <c r="S110" s="255">
        <v>240</v>
      </c>
      <c r="T110" s="255">
        <v>420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2795</v>
      </c>
      <c r="O111" s="252" t="s">
        <v>2133</v>
      </c>
      <c r="P111" s="253">
        <v>44760</v>
      </c>
      <c r="Q111" s="254"/>
      <c r="R111" s="252" t="s">
        <v>132</v>
      </c>
      <c r="S111" s="255">
        <v>240</v>
      </c>
      <c r="T111" s="255">
        <v>180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44764</v>
      </c>
      <c r="N112" s="252" t="s">
        <v>2794</v>
      </c>
      <c r="O112" s="317" t="s">
        <v>1230</v>
      </c>
      <c r="P112" s="253">
        <v>44759</v>
      </c>
      <c r="Q112" s="254"/>
      <c r="R112" s="252" t="s">
        <v>39</v>
      </c>
      <c r="S112" s="255">
        <v>400</v>
      </c>
      <c r="T112" s="255">
        <v>204</v>
      </c>
      <c r="U112" s="255">
        <v>2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2721</v>
      </c>
      <c r="O113" s="317" t="s">
        <v>2156</v>
      </c>
      <c r="P113" s="253">
        <v>44735</v>
      </c>
      <c r="Q113" s="269"/>
      <c r="R113" s="252" t="s">
        <v>2150</v>
      </c>
      <c r="S113" s="255">
        <v>300</v>
      </c>
      <c r="T113" s="255">
        <v>228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2721</v>
      </c>
      <c r="O114" s="347" t="s">
        <v>2151</v>
      </c>
      <c r="P114" s="253">
        <v>44735</v>
      </c>
      <c r="Q114" s="269"/>
      <c r="R114" s="252" t="s">
        <v>2152</v>
      </c>
      <c r="S114" s="255">
        <v>100</v>
      </c>
      <c r="T114" s="255">
        <v>36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2721</v>
      </c>
      <c r="O115" s="97" t="s">
        <v>2151</v>
      </c>
      <c r="P115" s="253">
        <v>44735</v>
      </c>
      <c r="Q115" s="269"/>
      <c r="R115" s="252" t="s">
        <v>2785</v>
      </c>
      <c r="S115" s="255">
        <v>100</v>
      </c>
      <c r="T115" s="255">
        <v>120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2713</v>
      </c>
      <c r="O116" s="97" t="s">
        <v>1070</v>
      </c>
      <c r="P116" s="253">
        <v>44731</v>
      </c>
      <c r="Q116" s="254"/>
      <c r="R116" s="252" t="s">
        <v>39</v>
      </c>
      <c r="S116" s="255">
        <v>600</v>
      </c>
      <c r="T116" s="255">
        <v>888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VHD Hài Bẹt 08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VHD Hài Bẹt 08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Gò công Trung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Gò công Trung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Lớn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Cheer Trung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Bộ đội Sọc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Tommy NC Viền 2 Su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hyperlinks>
    <hyperlink ref="AB100" r:id="rId1" display="Wo@da Trái tim"/>
  </hyperlinks>
  <pageMargins left="0" right="0" top="0" bottom="0" header="0" footer="0"/>
  <pageSetup paperSize="9" orientation="portrait" verticalDpi="300"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7" t="s">
        <v>527</v>
      </c>
      <c r="B1" s="338"/>
      <c r="C1" s="129"/>
      <c r="D1" s="337" t="s">
        <v>396</v>
      </c>
      <c r="E1" s="338"/>
      <c r="F1" s="129"/>
      <c r="G1" s="337" t="s">
        <v>390</v>
      </c>
      <c r="H1" s="338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5" t="s">
        <v>351</v>
      </c>
      <c r="B15" s="336"/>
      <c r="D15" s="335" t="s">
        <v>351</v>
      </c>
      <c r="E15" s="336"/>
      <c r="G15" s="335" t="s">
        <v>351</v>
      </c>
      <c r="H15" s="336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7" t="s">
        <v>247</v>
      </c>
      <c r="B17" s="338"/>
      <c r="C17" s="129"/>
      <c r="D17" s="337" t="s">
        <v>246</v>
      </c>
      <c r="E17" s="338"/>
      <c r="F17" s="129"/>
      <c r="G17" s="337" t="s">
        <v>1129</v>
      </c>
      <c r="H17" s="338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5" t="s">
        <v>351</v>
      </c>
      <c r="B31" s="336"/>
      <c r="D31" s="335" t="s">
        <v>351</v>
      </c>
      <c r="E31" s="336"/>
      <c r="G31" s="335" t="s">
        <v>351</v>
      </c>
      <c r="H31" s="336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39" t="s">
        <v>900</v>
      </c>
      <c r="E1" s="339"/>
      <c r="F1" s="339"/>
      <c r="J1" s="339" t="s">
        <v>901</v>
      </c>
      <c r="K1" s="339"/>
      <c r="L1" s="339"/>
      <c r="M1" s="339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39" t="s">
        <v>900</v>
      </c>
      <c r="E18" s="339"/>
      <c r="F18" s="339"/>
      <c r="J18" s="339" t="s">
        <v>901</v>
      </c>
      <c r="K18" s="339"/>
      <c r="L18" s="339"/>
      <c r="M18" s="339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39" t="s">
        <v>900</v>
      </c>
      <c r="E35" s="339"/>
      <c r="F35" s="339"/>
      <c r="J35" s="339" t="s">
        <v>901</v>
      </c>
      <c r="K35" s="339"/>
      <c r="L35" s="339"/>
      <c r="M35" s="339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1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2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3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5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4"/>
      <c r="D4" s="106"/>
      <c r="E4" s="29"/>
      <c r="F4" s="29">
        <v>144</v>
      </c>
      <c r="G4" s="29">
        <f>COUNTIF(Table132128[Kim],F4)</f>
        <v>22</v>
      </c>
      <c r="H4" s="29"/>
      <c r="I4" s="29"/>
      <c r="J4" s="346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6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5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4"/>
      <c r="D5" s="106"/>
      <c r="E5" s="29"/>
      <c r="F5" s="29"/>
      <c r="G5" s="29"/>
      <c r="H5" s="29"/>
      <c r="I5" s="29"/>
      <c r="J5" s="346"/>
      <c r="K5" s="29"/>
      <c r="L5" s="29"/>
      <c r="M5" s="29"/>
      <c r="N5" s="29"/>
      <c r="O5" s="112"/>
      <c r="P5" s="29"/>
      <c r="Q5" s="29"/>
      <c r="R5" s="29"/>
      <c r="S5" s="29"/>
      <c r="T5" s="346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5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4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6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6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5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4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6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6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5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4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6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6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5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4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6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6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5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4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6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6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5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4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6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6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5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4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6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6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5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4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6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6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5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4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6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6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5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4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6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6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5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4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6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6"/>
      <c r="U16" s="13">
        <v>200</v>
      </c>
      <c r="V16" s="36" t="s">
        <v>91</v>
      </c>
      <c r="W16" s="48"/>
      <c r="X16" s="48"/>
      <c r="Y16" s="346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5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4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6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6"/>
      <c r="U17" s="13">
        <v>144</v>
      </c>
      <c r="V17" s="36" t="s">
        <v>90</v>
      </c>
      <c r="W17" s="48"/>
      <c r="X17" s="48"/>
      <c r="Y17" s="346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5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4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6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6"/>
      <c r="U18" s="121"/>
      <c r="V18" s="122"/>
      <c r="W18" s="123"/>
      <c r="X18" s="123"/>
      <c r="Y18" s="346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5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4"/>
      <c r="D19" s="29" t="s">
        <v>307</v>
      </c>
      <c r="E19" s="29" t="s">
        <v>295</v>
      </c>
      <c r="F19" s="29"/>
      <c r="G19" s="29"/>
      <c r="H19" s="29"/>
      <c r="I19" s="29"/>
      <c r="J19" s="346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6"/>
      <c r="U19" s="121"/>
      <c r="V19" s="122"/>
      <c r="W19" s="125"/>
      <c r="X19" s="125"/>
      <c r="Y19" s="346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5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4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6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6"/>
      <c r="U20" s="13">
        <v>144</v>
      </c>
      <c r="V20" s="36" t="s">
        <v>88</v>
      </c>
      <c r="W20" s="48"/>
      <c r="X20" s="48"/>
      <c r="Y20" s="346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5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4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6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6"/>
      <c r="U21" s="13">
        <v>144</v>
      </c>
      <c r="V21" s="36" t="s">
        <v>85</v>
      </c>
      <c r="W21" s="48"/>
      <c r="X21" s="48"/>
      <c r="Y21" s="346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5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4"/>
      <c r="D22" s="106"/>
      <c r="J22" s="346"/>
      <c r="O22" s="112"/>
      <c r="T22" s="346"/>
      <c r="Y22" s="346"/>
      <c r="AE22" s="345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0" t="s">
        <v>284</v>
      </c>
      <c r="B23" s="340"/>
      <c r="C23" s="340"/>
      <c r="D23" s="340"/>
      <c r="E23" s="340"/>
      <c r="F23" s="340"/>
      <c r="G23" s="340"/>
      <c r="H23" s="340"/>
      <c r="I23" s="340"/>
      <c r="J23" s="340"/>
      <c r="K23" s="340"/>
      <c r="L23" s="340"/>
      <c r="M23" s="340"/>
      <c r="N23" s="340"/>
      <c r="O23" s="340"/>
      <c r="P23" s="340"/>
      <c r="Q23" s="340"/>
      <c r="R23" s="340"/>
      <c r="S23" s="340"/>
      <c r="T23" s="340"/>
      <c r="U23" s="340"/>
      <c r="V23" s="340"/>
      <c r="W23" s="340"/>
      <c r="X23" s="340"/>
      <c r="Y23" s="340"/>
      <c r="Z23" s="340"/>
      <c r="AA23" s="340"/>
      <c r="AB23" s="340"/>
      <c r="AC23" s="340"/>
      <c r="AD23" s="340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0"/>
      <c r="B24" s="340"/>
      <c r="C24" s="340"/>
      <c r="D24" s="340"/>
      <c r="E24" s="340"/>
      <c r="F24" s="340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2022-07-21T04:17:43Z</cp:lastPrinted>
  <dcterms:created xsi:type="dcterms:W3CDTF">2020-07-02T10:10:14Z</dcterms:created>
  <dcterms:modified xsi:type="dcterms:W3CDTF">2022-07-22T07:01:01Z</dcterms:modified>
</cp:coreProperties>
</file>