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ms-excel.slicerCache+xml" PartName="/xl/slicerCaches/slicerCache1.xml"/>
  <Override ContentType="application/vnd.ms-excel.slicer+xml" PartName="/xl/slicers/slicer1.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shboard" sheetId="1" r:id="rId4"/>
    <sheet state="visible" name="Raw Data" sheetId="2" r:id="rId5"/>
    <sheet state="visible" name="ArrayFormula-SumProduct" sheetId="3" r:id="rId6"/>
    <sheet state="visible" name="ArrayFormula --IF" sheetId="4" r:id="rId7"/>
    <sheet state="visible" name="ArrayFormula_SUMIF" sheetId="5" r:id="rId8"/>
    <sheet state="visible" name="ArrayFormula_StringConcat" sheetId="6" r:id="rId9"/>
  </sheets>
  <definedNames>
    <definedName hidden="1" localSheetId="1" name="Z_23302D48_01F3_468F_BC45_CD9A6FB6246A_.wvu.FilterData">'Raw Data'!$A$1:$J$89</definedName>
    <definedName name="SlicerCache_Table_1_Col_1">#N/A</definedName>
  </definedNames>
  <calcPr/>
  <customWorkbookViews>
    <customWorkbookView activeSheetId="0" maximized="1" windowHeight="0" windowWidth="0" guid="{23302D48-01F3-468F-BC45-CD9A6FB6246A}" name="Filter 1"/>
  </customWorkbookViews>
  <extLst>
    <ext uri="GoogleSheetsCustomDataVersion1">
      <go:sheetsCustomData xmlns:go="http://customooxmlschemas.google.com/" r:id="rId11" roundtripDataSignature="AMtx7mhVsB6/Es8GIYTre7ndPfJFD/2REQ=="/>
    </ext>
    <ext uri="{46BE6895-7355-4a93-B00E-2C351335B9C9}">
      <x15:slicerCaches>
        <x14:slicerCache r:id="rId10"/>
      </x15:slicerCaches>
    </ext>
  </extLst>
</workbook>
</file>

<file path=xl/sharedStrings.xml><?xml version="1.0" encoding="utf-8"?>
<sst xmlns="http://schemas.openxmlformats.org/spreadsheetml/2006/main" count="232" uniqueCount="84">
  <si>
    <t>Running Analytics</t>
  </si>
  <si>
    <t>Graphs</t>
  </si>
  <si>
    <t>Top Runs</t>
  </si>
  <si>
    <t>Top 10 Morning Runs</t>
  </si>
  <si>
    <t>Top 10 Evening Runs</t>
  </si>
  <si>
    <t>Charts</t>
  </si>
  <si>
    <t>Date/Time</t>
  </si>
  <si>
    <t>Time</t>
  </si>
  <si>
    <t>Distance Meters</t>
  </si>
  <si>
    <t>Duration</t>
  </si>
  <si>
    <t>Elevation Cm</t>
  </si>
  <si>
    <t>City</t>
  </si>
  <si>
    <t>Distance Miles</t>
  </si>
  <si>
    <t>Elevation Feet</t>
  </si>
  <si>
    <t>Pace</t>
  </si>
  <si>
    <t>Type</t>
  </si>
  <si>
    <t>Banjar Pasekan</t>
  </si>
  <si>
    <t>Morning Run</t>
  </si>
  <si>
    <t>New Orleans</t>
  </si>
  <si>
    <t>Evening Run</t>
  </si>
  <si>
    <t>Melbourne</t>
  </si>
  <si>
    <t>Afternoon Run</t>
  </si>
  <si>
    <t>Amsterdam</t>
  </si>
  <si>
    <t>Night Run</t>
  </si>
  <si>
    <t>New York</t>
  </si>
  <si>
    <t>Lesnoy</t>
  </si>
  <si>
    <t>Seget</t>
  </si>
  <si>
    <t>Tokoyo</t>
  </si>
  <si>
    <t>Baishui</t>
  </si>
  <si>
    <t>Chicago</t>
  </si>
  <si>
    <t>Liangnong</t>
  </si>
  <si>
    <t>Fresno</t>
  </si>
  <si>
    <t>Mexico City</t>
  </si>
  <si>
    <t>Jasaan</t>
  </si>
  <si>
    <t>Haodi</t>
  </si>
  <si>
    <t>Shamkhor</t>
  </si>
  <si>
    <t>Goundam</t>
  </si>
  <si>
    <t>Mumbai</t>
  </si>
  <si>
    <t>Shuinanxu</t>
  </si>
  <si>
    <t>Jamshoro</t>
  </si>
  <si>
    <t>Halden</t>
  </si>
  <si>
    <t>Jingxiyuan</t>
  </si>
  <si>
    <t>Runaway Bay</t>
  </si>
  <si>
    <t>Quezalguaque</t>
  </si>
  <si>
    <t>Colombia</t>
  </si>
  <si>
    <t>Yao’an</t>
  </si>
  <si>
    <t>Haebaru</t>
  </si>
  <si>
    <t>San Luis Obispo</t>
  </si>
  <si>
    <t>Dalinhe</t>
  </si>
  <si>
    <t>Becerril</t>
  </si>
  <si>
    <t>Marseille</t>
  </si>
  <si>
    <t>Tel Aviv</t>
  </si>
  <si>
    <t>Khotiv</t>
  </si>
  <si>
    <t>Buenos Aires</t>
  </si>
  <si>
    <t># Items</t>
  </si>
  <si>
    <t>Price per item</t>
  </si>
  <si>
    <t>Total Price</t>
  </si>
  <si>
    <t>"=SUM(C5:C8*D5:D8)"</t>
  </si>
  <si>
    <t>"=ARRAYFORMULA(SUM(C5:C8 * D5:D8))"</t>
  </si>
  <si>
    <t>"=SUMPRODUCT(C5:C8,D5:D8)"</t>
  </si>
  <si>
    <t>Value</t>
  </si>
  <si>
    <t>Is Greater than 2000</t>
  </si>
  <si>
    <t>"=ARRAYFORMULA(IF(A2:A7&gt;2000,"&gt;2000","&lt;=2000"))"</t>
  </si>
  <si>
    <t>&lt;=2000</t>
  </si>
  <si>
    <t>&gt;2000</t>
  </si>
  <si>
    <t>OrderID</t>
  </si>
  <si>
    <t>ProductID</t>
  </si>
  <si>
    <t>SalePrice</t>
  </si>
  <si>
    <t>Sum of Sale price</t>
  </si>
  <si>
    <t>Count of Sales</t>
  </si>
  <si>
    <t>"=ARRAYFORMULA(COUNTIF(B2:B19,F26:F28))"</t>
  </si>
  <si>
    <t>FirstName</t>
  </si>
  <si>
    <t>LastName</t>
  </si>
  <si>
    <t>FullName</t>
  </si>
  <si>
    <t>abc</t>
  </si>
  <si>
    <t>aer</t>
  </si>
  <si>
    <t>"=A2&amp;" "&amp;B2"</t>
  </si>
  <si>
    <t>xyz</t>
  </si>
  <si>
    <t>dfr</t>
  </si>
  <si>
    <t>mno</t>
  </si>
  <si>
    <t xml:space="preserve">acd </t>
  </si>
  <si>
    <t>"=ARRAYFORMULA(A2:A4 &amp; " " &amp; B2:B4)"</t>
  </si>
  <si>
    <t>xyz dfr</t>
  </si>
  <si>
    <t xml:space="preserve">mno acd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</si>
</sst>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h:mm am/pm"/>
    <numFmt numFmtId="166" formatCode="_(&quot;$&quot;* #,##0.00_);_(&quot;$&quot;* \(#,##0.00\);_(&quot;$&quot;* &quot;-&quot;??_);_(@_)"/>
  </numFmts>
  <fonts count="16">
    <font>
      <sz val="10.0"/>
      <color rgb="FF000000"/>
      <name val="Arial"/>
      <scheme val="minor"/>
    </font>
    <font>
      <color theme="1"/>
      <name val="Arial"/>
      <scheme val="minor"/>
    </font>
    <font>
      <b/>
      <sz val="20.0"/>
      <color rgb="FF0000FF"/>
      <name val="Arial"/>
      <scheme val="minor"/>
    </font>
    <font>
      <b/>
      <sz val="14.0"/>
      <color rgb="FF0000FF"/>
      <name val="Arial"/>
      <scheme val="minor"/>
    </font>
    <font>
      <b/>
      <color theme="1"/>
      <name val="Arial"/>
      <scheme val="minor"/>
    </font>
    <font>
      <color rgb="FF000000"/>
      <name val="Arial"/>
      <scheme val="minor"/>
    </font>
    <font>
      <b/>
      <sz val="13.0"/>
      <color rgb="FF0000FF"/>
      <name val="Arial"/>
      <scheme val="minor"/>
    </font>
    <font>
      <b/>
      <color theme="1"/>
      <name val="Arial"/>
    </font>
    <font>
      <color theme="1"/>
      <name val="Arial"/>
    </font>
    <font>
      <b/>
      <sz val="16.0"/>
      <color theme="1"/>
      <name val="Arial"/>
    </font>
    <font>
      <b/>
      <sz val="15.0"/>
      <color theme="1"/>
      <name val="Arial"/>
    </font>
    <font>
      <b/>
      <sz val="13.0"/>
      <color theme="1"/>
      <name val="Arial"/>
    </font>
    <font>
      <b/>
      <sz val="15.0"/>
      <color rgb="FF262626"/>
      <name val="Source Serif Pro"/>
    </font>
    <font>
      <b/>
      <sz val="14.0"/>
      <color theme="1"/>
      <name val="Arial"/>
    </font>
    <font>
      <b/>
      <sz val="14.0"/>
      <color rgb="FF000000"/>
      <name val="Arial"/>
    </font>
    <font>
      <b/>
      <sz val="16.0"/>
      <color rgb="FF000000"/>
      <name val="Arial"/>
    </font>
  </fonts>
  <fills count="10">
    <fill>
      <patternFill patternType="none"/>
    </fill>
    <fill>
      <patternFill patternType="lightGray"/>
    </fill>
    <fill>
      <patternFill patternType="solid">
        <fgColor rgb="FFFFD966"/>
        <bgColor rgb="FFFFD966"/>
      </patternFill>
    </fill>
    <fill>
      <patternFill patternType="solid">
        <fgColor rgb="FFFFE599"/>
        <bgColor rgb="FFFFE599"/>
      </patternFill>
    </fill>
    <fill>
      <patternFill patternType="solid">
        <fgColor rgb="FFFFF2CC"/>
        <bgColor rgb="FFFFF2CC"/>
      </patternFill>
    </fill>
    <fill>
      <patternFill patternType="solid">
        <fgColor rgb="FFF4CCCC"/>
        <bgColor rgb="FFF4CCCC"/>
      </patternFill>
    </fill>
    <fill>
      <patternFill patternType="solid">
        <fgColor rgb="FFFCE5CD"/>
        <bgColor rgb="FFFCE5CD"/>
      </patternFill>
    </fill>
    <fill>
      <patternFill patternType="solid">
        <fgColor rgb="FFD0E0E3"/>
        <bgColor rgb="FFD0E0E3"/>
      </patternFill>
    </fill>
    <fill>
      <patternFill patternType="solid">
        <fgColor rgb="FFFFFFFF"/>
        <bgColor rgb="FFFFFFFF"/>
      </patternFill>
    </fill>
    <fill>
      <patternFill patternType="solid">
        <fgColor rgb="FFC9DAF8"/>
        <bgColor rgb="FFC9DAF8"/>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readingOrder="0"/>
    </xf>
    <xf borderId="0" fillId="3" fontId="1" numFmtId="0" xfId="0" applyFill="1" applyFont="1"/>
    <xf borderId="0" fillId="3" fontId="3" numFmtId="0" xfId="0" applyAlignment="1" applyFont="1">
      <alignment readingOrder="0"/>
    </xf>
    <xf borderId="0" fillId="3" fontId="4" numFmtId="0" xfId="0" applyFont="1"/>
    <xf borderId="0" fillId="4" fontId="1" numFmtId="0" xfId="0" applyFill="1" applyFont="1"/>
    <xf borderId="0" fillId="4" fontId="3" numFmtId="0" xfId="0" applyAlignment="1" applyFont="1">
      <alignment readingOrder="0"/>
    </xf>
    <xf borderId="0" fillId="5" fontId="1" numFmtId="0" xfId="0" applyAlignment="1" applyFill="1" applyFont="1">
      <alignment readingOrder="0"/>
    </xf>
    <xf borderId="0" fillId="6" fontId="5" numFmtId="0" xfId="0" applyAlignment="1" applyFill="1" applyFont="1">
      <alignment readingOrder="0"/>
    </xf>
    <xf borderId="0" fillId="0" fontId="1" numFmtId="0" xfId="0" applyFont="1"/>
    <xf borderId="0" fillId="0" fontId="1" numFmtId="164" xfId="0" applyFont="1" applyNumberFormat="1"/>
    <xf borderId="0" fillId="0" fontId="1" numFmtId="165" xfId="0" applyFont="1" applyNumberFormat="1"/>
    <xf borderId="0" fillId="0" fontId="1" numFmtId="21" xfId="0" applyFont="1" applyNumberFormat="1"/>
    <xf borderId="0" fillId="3" fontId="6" numFmtId="0" xfId="0" applyAlignment="1" applyFont="1">
      <alignment readingOrder="0"/>
    </xf>
    <xf borderId="0" fillId="0" fontId="7" numFmtId="0" xfId="0" applyFont="1"/>
    <xf borderId="0" fillId="0" fontId="8" numFmtId="164" xfId="0" applyFont="1" applyNumberFormat="1"/>
    <xf borderId="0" fillId="0" fontId="8" numFmtId="165" xfId="0" applyFont="1" applyNumberFormat="1"/>
    <xf borderId="0" fillId="0" fontId="8" numFmtId="0" xfId="0" applyFont="1"/>
    <xf borderId="0" fillId="0" fontId="8" numFmtId="21" xfId="0" applyFont="1" applyNumberFormat="1"/>
    <xf borderId="0" fillId="0" fontId="8" numFmtId="0" xfId="0" applyAlignment="1" applyFont="1">
      <alignment vertical="bottom"/>
    </xf>
    <xf borderId="0" fillId="7" fontId="8" numFmtId="0" xfId="0" applyAlignment="1" applyFill="1" applyFont="1">
      <alignment vertical="bottom"/>
    </xf>
    <xf borderId="0" fillId="7" fontId="8" numFmtId="0" xfId="0" applyAlignment="1" applyFont="1">
      <alignment horizontal="right" vertical="bottom"/>
    </xf>
    <xf borderId="0" fillId="0" fontId="8" numFmtId="0" xfId="0" applyAlignment="1" applyFont="1">
      <alignment horizontal="right" vertical="bottom"/>
    </xf>
    <xf borderId="0" fillId="0" fontId="7" numFmtId="0" xfId="0" applyAlignment="1" applyFont="1">
      <alignment horizontal="center" vertical="bottom"/>
    </xf>
    <xf borderId="0" fillId="0" fontId="9" numFmtId="0" xfId="0" applyAlignment="1" applyFont="1">
      <alignment vertical="bottom"/>
    </xf>
    <xf borderId="0" fillId="0" fontId="10" numFmtId="0" xfId="0" applyAlignment="1" applyFont="1">
      <alignment horizontal="right" vertical="bottom"/>
    </xf>
    <xf borderId="0" fillId="0" fontId="11" numFmtId="0" xfId="0" applyAlignment="1" applyFont="1">
      <alignment shrinkToFit="0" vertical="bottom" wrapText="0"/>
    </xf>
    <xf borderId="0" fillId="0" fontId="12" numFmtId="0" xfId="0" applyAlignment="1" applyFont="1">
      <alignment horizontal="right" vertical="bottom"/>
    </xf>
    <xf borderId="0" fillId="8" fontId="13" numFmtId="0" xfId="0" applyAlignment="1" applyFill="1" applyFont="1">
      <alignment shrinkToFit="0" vertical="bottom" wrapText="0"/>
    </xf>
    <xf borderId="0" fillId="0" fontId="8" numFmtId="166" xfId="0" applyFont="1" applyNumberFormat="1"/>
    <xf borderId="0" fillId="0" fontId="14" numFmtId="0" xfId="0" applyFont="1"/>
    <xf borderId="0" fillId="0" fontId="13" numFmtId="0" xfId="0" applyFont="1"/>
    <xf borderId="0" fillId="8" fontId="15" numFmtId="0" xfId="0" applyFont="1"/>
    <xf borderId="0" fillId="9" fontId="13" numFmtId="0" xfId="0" applyFill="1" applyFont="1"/>
    <xf borderId="0" fillId="9" fontId="11" numFmtId="0" xfId="0" applyFon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microsoft.com/office/2007/relationships/slicerCache" Target="slicerCaches/slicerCache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Distance over Time</a:t>
            </a:r>
          </a:p>
        </c:rich>
      </c:tx>
      <c:overlay val="0"/>
    </c:title>
    <c:plotArea>
      <c:layout/>
      <c:lineChart>
        <c:varyColors val="0"/>
        <c:ser>
          <c:idx val="0"/>
          <c:order val="0"/>
          <c:tx>
            <c:strRef>
              <c:f>'Raw Data'!$G$1</c:f>
            </c:strRef>
          </c:tx>
          <c:spPr>
            <a:ln cmpd="sng">
              <a:solidFill>
                <a:srgbClr val="4285F4"/>
              </a:solidFill>
            </a:ln>
          </c:spPr>
          <c:marker>
            <c:symbol val="none"/>
          </c:marker>
          <c:cat>
            <c:strRef>
              <c:f>'Raw Data'!$A$2:$A$89</c:f>
            </c:strRef>
          </c:cat>
          <c:val>
            <c:numRef>
              <c:f>'Raw Data'!$G$2:$G$89</c:f>
              <c:numCache/>
            </c:numRef>
          </c:val>
          <c:smooth val="0"/>
        </c:ser>
        <c:axId val="1377664721"/>
        <c:axId val="899014871"/>
      </c:lineChart>
      <c:catAx>
        <c:axId val="137766472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Time</a:t>
                </a:r>
              </a:p>
            </c:rich>
          </c:tx>
          <c:overlay val="0"/>
        </c:title>
        <c:numFmt formatCode="General" sourceLinked="1"/>
        <c:majorTickMark val="none"/>
        <c:minorTickMark val="none"/>
        <c:spPr/>
        <c:txPr>
          <a:bodyPr/>
          <a:lstStyle/>
          <a:p>
            <a:pPr lvl="0">
              <a:defRPr b="0">
                <a:solidFill>
                  <a:srgbClr val="000000"/>
                </a:solidFill>
                <a:latin typeface="+mn-lt"/>
              </a:defRPr>
            </a:pPr>
          </a:p>
        </c:txPr>
        <c:crossAx val="899014871"/>
      </c:catAx>
      <c:valAx>
        <c:axId val="89901487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Distance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77664721"/>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Pace vs Time</a:t>
            </a:r>
          </a:p>
        </c:rich>
      </c:tx>
      <c:overlay val="0"/>
    </c:title>
    <c:plotArea>
      <c:layout/>
      <c:lineChart>
        <c:varyColors val="0"/>
        <c:ser>
          <c:idx val="0"/>
          <c:order val="0"/>
          <c:tx>
            <c:strRef>
              <c:f>'Raw Data'!$I$1</c:f>
            </c:strRef>
          </c:tx>
          <c:spPr>
            <a:ln cmpd="sng">
              <a:solidFill>
                <a:srgbClr val="4285F4"/>
              </a:solidFill>
            </a:ln>
          </c:spPr>
          <c:marker>
            <c:symbol val="none"/>
          </c:marker>
          <c:cat>
            <c:strRef>
              <c:f>'Raw Data'!$A$2:$A$89</c:f>
            </c:strRef>
          </c:cat>
          <c:val>
            <c:numRef>
              <c:f>'Raw Data'!$I$2:$I$89</c:f>
              <c:numCache/>
            </c:numRef>
          </c:val>
          <c:smooth val="0"/>
        </c:ser>
        <c:axId val="1928812398"/>
        <c:axId val="985110177"/>
      </c:lineChart>
      <c:catAx>
        <c:axId val="192881239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985110177"/>
      </c:catAx>
      <c:valAx>
        <c:axId val="98511017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Time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28812398"/>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image" Target="../media/Chart1.png"/><Relationship Id="rId2" Type="http://schemas.openxmlformats.org/officeDocument/2006/relationships/image" Target="../media/Chart2.png"/><Relationship Id="rId3" Type="http://schemas.openxmlformats.org/officeDocument/2006/relationships/chart" Target="../charts/chart1.xml"/><Relationship Id="rId4" Type="http://schemas.openxmlformats.org/officeDocument/2006/relationships/chart" Target="../charts/chart2.xml"/><Relationship Id="rId5" Type="http://schemas.openxmlformats.org/officeDocument/2006/relationships/image" Target="../media/Chart6.png"/><Relationship Id="rId6"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885825</xdr:colOff>
      <xdr:row>11</xdr:row>
      <xdr:rowOff>0</xdr:rowOff>
    </xdr:from>
    <xdr:ext cx="2943225" cy="1352550"/>
    <xdr:pic>
      <xdr:nvPicPr>
        <xdr:cNvPr id="1435954482" name="Chart1" title="Chart">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942975</xdr:colOff>
      <xdr:row>10</xdr:row>
      <xdr:rowOff>152400</xdr:rowOff>
    </xdr:from>
    <xdr:ext cx="3543300" cy="1352550"/>
    <xdr:pic>
      <xdr:nvPicPr>
        <xdr:cNvPr id="635271960" name="Chart2" title="Chart">
          <a:extLst>
            <a:ext uri="GoogleSheetsCustomDataVersion1">
              <go:sheetsCustomData xmlns:go="http://customooxmlschemas.google.com/" pictureOfChart="1"/>
            </a:ext>
          </a:extLst>
        </xdr:cNvPr>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885825</xdr:colOff>
      <xdr:row>24</xdr:row>
      <xdr:rowOff>47625</xdr:rowOff>
    </xdr:from>
    <xdr:ext cx="5715000" cy="3533775"/>
    <xdr:graphicFrame>
      <xdr:nvGraphicFramePr>
        <xdr:cNvPr id="474523158"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7</xdr:col>
      <xdr:colOff>942975</xdr:colOff>
      <xdr:row>24</xdr:row>
      <xdr:rowOff>47625</xdr:rowOff>
    </xdr:from>
    <xdr:ext cx="5715000" cy="3533775"/>
    <xdr:graphicFrame>
      <xdr:nvGraphicFramePr>
        <xdr:cNvPr id="1213601018"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0</xdr:col>
      <xdr:colOff>809625</xdr:colOff>
      <xdr:row>71</xdr:row>
      <xdr:rowOff>9525</xdr:rowOff>
    </xdr:from>
    <xdr:ext cx="5715000" cy="3533775"/>
    <xdr:pic>
      <xdr:nvPicPr>
        <xdr:cNvPr id="931547655" name="Chart5" title="Chart">
          <a:extLst>
            <a:ext uri="GoogleSheetsCustomDataVersion1">
              <go:sheetsCustomData xmlns:go="http://customooxmlschemas.google.com/" pictureOfChart="1"/>
            </a:ext>
          </a:extLst>
        </xdr:cNvPr>
        <xdr:cNvPicPr preferRelativeResize="0"/>
      </xdr:nvPicPr>
      <xdr:blipFill/>
      <xdr:spPr>
        <a:prstGeom prst="rect">
          <a:avLst/>
        </a:prstGeom>
        <a:noFill/>
      </xdr:spPr>
    </xdr:pic>
    <xdr:clientData fLocksWithSheet="0"/>
  </xdr:oneCellAnchor>
  <xdr:oneCellAnchor>
    <xdr:from>
      <xdr:col>7</xdr:col>
      <xdr:colOff>942975</xdr:colOff>
      <xdr:row>71</xdr:row>
      <xdr:rowOff>9525</xdr:rowOff>
    </xdr:from>
    <xdr:ext cx="5715000" cy="3533775"/>
    <xdr:pic>
      <xdr:nvPicPr>
        <xdr:cNvPr id="192247732" name="Chart6" title="Chart">
          <a:extLst>
            <a:ext uri="GoogleSheetsCustomDataVersion1">
              <go:sheetsCustomData xmlns:go="http://customooxmlschemas.google.com/" pictureOfChart="1"/>
            </a:ext>
          </a:extLst>
        </xdr:cNvPr>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914400</xdr:colOff>
      <xdr:row>6</xdr:row>
      <xdr:rowOff>161925</xdr:rowOff>
    </xdr:from>
    <xdr:ext cx="2857500" cy="2857500"/>
    <mc:AlternateContent>
      <mc:Choice Requires="sle15">
        <xdr:graphicFrame>
          <xdr:nvGraphicFramePr>
            <xdr:cNvPr id="1" name="Date/Time_1"/>
            <xdr:cNvGraphicFramePr/>
          </xdr:nvGraphicFramePr>
          <xdr:xfrm>
            <a:off x="0" y="0"/>
            <a:ext cx="0" cy="0"/>
          </xdr:xfrm>
          <a:graphic>
            <a:graphicData uri="http://schemas.microsoft.com/office/drawing/2010/slicer">
              <x3Unk:slicer name="Date/Time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0</xdr:colOff>
      <xdr:row>0</xdr:row>
      <xdr:rowOff>0</xdr:rowOff>
    </xdr:from>
    <xdr:ext cx="1924050" cy="1152525"/>
    <xdr:pic>
      <xdr:nvPicPr>
        <xdr:cNvPr id="0" name="image1.png" title="Image"/>
        <xdr:cNvPicPr preferRelativeResize="0"/>
      </xdr:nvPicPr>
      <xdr:blipFill>
        <a:blip cstate="print" r:embed="rId6"/>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Date/Time">
  <x14:extLst>
    <ext uri="{2F2917AC-EB37-4324-AD4E-5DD8C200BD13}">
      <x15:tableSlicerCache tableId="1" column="1"/>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Date/Time_1" cache="SlicerCache_Table_1_Col_1" caption="Date/Time" rowHeight="247650"/>
</x14:slicers>
</file>

<file path=xl/tables/table1.xml><?xml version="1.0" encoding="utf-8"?>
<table xmlns="http://schemas.openxmlformats.org/spreadsheetml/2006/main" ref="A1:J89" displayName="Table_1" id="1">
  <autoFilter ref="$A$1:$J$89"/>
  <tableColumns count="10">
    <tableColumn name="Date/Time" id="1"/>
    <tableColumn name="Time" id="2"/>
    <tableColumn name="Distance Meters" id="3"/>
    <tableColumn name="Duration" id="4"/>
    <tableColumn name="Elevation Cm" id="5"/>
    <tableColumn name="City" id="6"/>
    <tableColumn name="Distance Miles" id="7"/>
    <tableColumn name="Elevation Feet" id="8"/>
    <tableColumn name="Pace" id="9"/>
    <tableColumn name="Type" id="10"/>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6" width="12.63"/>
  </cols>
  <sheetData>
    <row r="1" ht="15.75" customHeight="1"/>
    <row r="2" ht="15.75" customHeight="1"/>
    <row r="3" ht="15.75" customHeight="1"/>
    <row r="4" ht="15.75" customHeight="1"/>
    <row r="5" ht="15.75" customHeight="1"/>
    <row r="6" ht="15.75" customHeight="1"/>
    <row r="7" ht="15.75" customHeight="1">
      <c r="A7" s="1"/>
      <c r="B7" s="1"/>
      <c r="C7" s="1"/>
      <c r="D7" s="1"/>
      <c r="E7" s="1"/>
      <c r="F7" s="1"/>
      <c r="G7" s="1"/>
      <c r="H7" s="1"/>
      <c r="I7" s="1"/>
      <c r="J7" s="1"/>
      <c r="K7" s="1"/>
      <c r="L7" s="1"/>
      <c r="M7" s="1"/>
      <c r="N7" s="1"/>
      <c r="O7" s="1"/>
      <c r="P7" s="1"/>
      <c r="Q7" s="1"/>
      <c r="R7" s="1"/>
      <c r="S7" s="1"/>
      <c r="T7" s="1"/>
      <c r="U7" s="1"/>
      <c r="V7" s="1"/>
      <c r="W7" s="1"/>
      <c r="X7" s="1"/>
      <c r="Y7" s="1"/>
      <c r="Z7" s="1"/>
    </row>
    <row r="8" ht="15.75" customHeight="1">
      <c r="A8" s="1"/>
      <c r="B8" s="2" t="s">
        <v>0</v>
      </c>
      <c r="C8" s="1"/>
      <c r="D8" s="1"/>
      <c r="E8" s="1"/>
      <c r="F8" s="1"/>
      <c r="G8" s="1"/>
      <c r="H8" s="1"/>
      <c r="I8" s="1"/>
      <c r="J8" s="1"/>
      <c r="K8" s="1"/>
      <c r="L8" s="1"/>
      <c r="M8" s="1"/>
      <c r="N8" s="1"/>
      <c r="O8" s="1"/>
      <c r="P8" s="1"/>
      <c r="Q8" s="1"/>
      <c r="R8" s="1"/>
      <c r="S8" s="1"/>
      <c r="T8" s="1"/>
      <c r="U8" s="1"/>
      <c r="V8" s="1"/>
      <c r="W8" s="1"/>
      <c r="X8" s="1"/>
      <c r="Y8" s="1"/>
      <c r="Z8" s="1"/>
    </row>
    <row r="9" ht="15.75" customHeight="1">
      <c r="A9" s="1"/>
      <c r="B9" s="1"/>
      <c r="C9" s="1"/>
      <c r="D9" s="1"/>
      <c r="E9" s="1"/>
      <c r="F9" s="1"/>
      <c r="G9" s="1"/>
      <c r="H9" s="1"/>
      <c r="I9" s="1"/>
      <c r="J9" s="1"/>
      <c r="K9" s="1"/>
      <c r="L9" s="1"/>
      <c r="M9" s="1"/>
      <c r="N9" s="1"/>
      <c r="O9" s="1"/>
      <c r="P9" s="1"/>
      <c r="Q9" s="1"/>
      <c r="R9" s="1"/>
      <c r="S9" s="1"/>
      <c r="T9" s="1"/>
      <c r="U9" s="1"/>
      <c r="V9" s="1"/>
      <c r="W9" s="1"/>
      <c r="X9" s="1"/>
      <c r="Y9" s="1"/>
      <c r="Z9" s="1"/>
    </row>
    <row r="10" ht="15.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4" t="s">
        <v>1</v>
      </c>
      <c r="C21" s="3"/>
      <c r="D21" s="3"/>
      <c r="E21" s="3"/>
      <c r="F21" s="3"/>
      <c r="G21" s="3"/>
      <c r="H21" s="3"/>
      <c r="I21" s="5"/>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7" t="s">
        <v>2</v>
      </c>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B50" s="8" t="s">
        <v>3</v>
      </c>
      <c r="I50" s="9" t="s">
        <v>4</v>
      </c>
    </row>
    <row r="51" ht="15.75" customHeight="1"/>
    <row r="52" ht="15.75" customHeight="1"/>
    <row r="53" ht="15.75" customHeight="1">
      <c r="B53" s="10" t="str">
        <f>IFERROR(__xludf.DUMMYFUNCTION("QUERY('Raw Data'!A1:J89,""select A,B,D,F,I where (J = 'Morning Run') order by I limit 10"",1)"),"Date/Time")</f>
        <v>Date/Time</v>
      </c>
      <c r="C53" s="10" t="str">
        <f>IFERROR(__xludf.DUMMYFUNCTION("""COMPUTED_VALUE"""),"Time")</f>
        <v>Time</v>
      </c>
      <c r="D53" s="10" t="str">
        <f>IFERROR(__xludf.DUMMYFUNCTION("""COMPUTED_VALUE"""),"Duration")</f>
        <v>Duration</v>
      </c>
      <c r="E53" s="10" t="str">
        <f>IFERROR(__xludf.DUMMYFUNCTION("""COMPUTED_VALUE"""),"City")</f>
        <v>City</v>
      </c>
      <c r="F53" s="10" t="str">
        <f>IFERROR(__xludf.DUMMYFUNCTION("""COMPUTED_VALUE"""),"Pace")</f>
        <v>Pace</v>
      </c>
      <c r="I53" s="10" t="str">
        <f>IFERROR(__xludf.DUMMYFUNCTION("QUERY('Raw Data'!A1:J89,""select A,B,D,F,I where (J = 'Evening Run') order by I limit 10"",1)"),"Date/Time")</f>
        <v>Date/Time</v>
      </c>
      <c r="J53" s="10" t="str">
        <f>IFERROR(__xludf.DUMMYFUNCTION("""COMPUTED_VALUE"""),"Time")</f>
        <v>Time</v>
      </c>
      <c r="K53" s="10" t="str">
        <f>IFERROR(__xludf.DUMMYFUNCTION("""COMPUTED_VALUE"""),"Duration")</f>
        <v>Duration</v>
      </c>
      <c r="L53" s="10" t="str">
        <f>IFERROR(__xludf.DUMMYFUNCTION("""COMPUTED_VALUE"""),"City")</f>
        <v>City</v>
      </c>
      <c r="M53" s="10" t="str">
        <f>IFERROR(__xludf.DUMMYFUNCTION("""COMPUTED_VALUE"""),"Pace")</f>
        <v>Pace</v>
      </c>
    </row>
    <row r="54" ht="15.75" customHeight="1">
      <c r="B54" s="11">
        <f>IFERROR(__xludf.DUMMYFUNCTION("""COMPUTED_VALUE"""),43311.0)</f>
        <v>43311</v>
      </c>
      <c r="C54" s="12">
        <f>IFERROR(__xludf.DUMMYFUNCTION("""COMPUTED_VALUE"""),0.26736111110949423)</f>
        <v>0.2673611111</v>
      </c>
      <c r="D54" s="13">
        <f>IFERROR(__xludf.DUMMYFUNCTION("""COMPUTED_VALUE"""),0.024305555554747116)</f>
        <v>0.02430555555</v>
      </c>
      <c r="E54" s="10" t="str">
        <f>IFERROR(__xludf.DUMMYFUNCTION("""COMPUTED_VALUE"""),"Amsterdam")</f>
        <v>Amsterdam</v>
      </c>
      <c r="F54" s="13">
        <f>IFERROR(__xludf.DUMMYFUNCTION("""COMPUTED_VALUE"""),0.006145833332993789)</f>
        <v>0.006145833333</v>
      </c>
      <c r="I54" s="11">
        <f>IFERROR(__xludf.DUMMYFUNCTION("""COMPUTED_VALUE"""),43350.0)</f>
        <v>43350</v>
      </c>
      <c r="J54" s="12">
        <f>IFERROR(__xludf.DUMMYFUNCTION("""COMPUTED_VALUE"""),0.7930555555540195)</f>
        <v>0.7930555556</v>
      </c>
      <c r="K54" s="13">
        <f>IFERROR(__xludf.DUMMYFUNCTION("""COMPUTED_VALUE"""),0.024421296297077788)</f>
        <v>0.0244212963</v>
      </c>
      <c r="L54" s="10" t="str">
        <f>IFERROR(__xludf.DUMMYFUNCTION("""COMPUTED_VALUE"""),"Yao’an")</f>
        <v>Yao’an</v>
      </c>
      <c r="M54" s="13">
        <f>IFERROR(__xludf.DUMMYFUNCTION("""COMPUTED_VALUE"""),0.005960648148175096)</f>
        <v>0.005960648148</v>
      </c>
    </row>
    <row r="55" ht="15.75" customHeight="1">
      <c r="B55" s="11">
        <f>IFERROR(__xludf.DUMMYFUNCTION("""COMPUTED_VALUE"""),43297.0)</f>
        <v>43297</v>
      </c>
      <c r="C55" s="12">
        <f>IFERROR(__xludf.DUMMYFUNCTION("""COMPUTED_VALUE"""),0.2694444444459805)</f>
        <v>0.2694444444</v>
      </c>
      <c r="D55" s="13">
        <f>IFERROR(__xludf.DUMMYFUNCTION("""COMPUTED_VALUE"""),0.026990740741894115)</f>
        <v>0.02699074074</v>
      </c>
      <c r="E55" s="10" t="str">
        <f>IFERROR(__xludf.DUMMYFUNCTION("""COMPUTED_VALUE"""),"Goundam")</f>
        <v>Goundam</v>
      </c>
      <c r="F55" s="13">
        <f>IFERROR(__xludf.DUMMYFUNCTION("""COMPUTED_VALUE"""),0.006192129629198462)</f>
        <v>0.006192129629</v>
      </c>
      <c r="I55" s="11">
        <f>IFERROR(__xludf.DUMMYFUNCTION("""COMPUTED_VALUE"""),43353.0)</f>
        <v>43353</v>
      </c>
      <c r="J55" s="12">
        <f>IFERROR(__xludf.DUMMYFUNCTION("""COMPUTED_VALUE"""),0.765972222223354)</f>
        <v>0.7659722222</v>
      </c>
      <c r="K55" s="13">
        <f>IFERROR(__xludf.DUMMYFUNCTION("""COMPUTED_VALUE"""),0.027916666665987577)</f>
        <v>0.02791666667</v>
      </c>
      <c r="L55" s="10" t="str">
        <f>IFERROR(__xludf.DUMMYFUNCTION("""COMPUTED_VALUE"""),"Haebaru")</f>
        <v>Haebaru</v>
      </c>
      <c r="M55" s="13">
        <f>IFERROR(__xludf.DUMMYFUNCTION("""COMPUTED_VALUE"""),0.006064814813726116)</f>
        <v>0.006064814814</v>
      </c>
    </row>
    <row r="56" ht="15.75" customHeight="1">
      <c r="B56" s="11">
        <f>IFERROR(__xludf.DUMMYFUNCTION("""COMPUTED_VALUE"""),43306.0)</f>
        <v>43306</v>
      </c>
      <c r="C56" s="12">
        <f>IFERROR(__xludf.DUMMYFUNCTION("""COMPUTED_VALUE"""),0.25833333333503106)</f>
        <v>0.2583333333</v>
      </c>
      <c r="D56" s="13">
        <f>IFERROR(__xludf.DUMMYFUNCTION("""COMPUTED_VALUE"""),0.02708333333430346)</f>
        <v>0.02708333333</v>
      </c>
      <c r="E56" s="10" t="str">
        <f>IFERROR(__xludf.DUMMYFUNCTION("""COMPUTED_VALUE"""),"Amsterdam")</f>
        <v>Amsterdam</v>
      </c>
      <c r="F56" s="13">
        <f>IFERROR(__xludf.DUMMYFUNCTION("""COMPUTED_VALUE"""),0.006226851852261461)</f>
        <v>0.006226851852</v>
      </c>
      <c r="I56" s="11">
        <f>IFERROR(__xludf.DUMMYFUNCTION("""COMPUTED_VALUE"""),43378.0)</f>
        <v>43378</v>
      </c>
      <c r="J56" s="12">
        <f>IFERROR(__xludf.DUMMYFUNCTION("""COMPUTED_VALUE"""),0.765277777776646)</f>
        <v>0.7652777778</v>
      </c>
      <c r="K56" s="13">
        <f>IFERROR(__xludf.DUMMYFUNCTION("""COMPUTED_VALUE"""),0.03478009259197279)</f>
        <v>0.03478009259</v>
      </c>
      <c r="L56" s="10" t="str">
        <f>IFERROR(__xludf.DUMMYFUNCTION("""COMPUTED_VALUE"""),"Runaway Bay")</f>
        <v>Runaway Bay</v>
      </c>
      <c r="M56" s="13">
        <f>IFERROR(__xludf.DUMMYFUNCTION("""COMPUTED_VALUE"""),0.006076388890505768)</f>
        <v>0.006076388891</v>
      </c>
    </row>
    <row r="57" ht="15.75" customHeight="1">
      <c r="B57" s="11">
        <f>IFERROR(__xludf.DUMMYFUNCTION("""COMPUTED_VALUE"""),43325.0)</f>
        <v>43325</v>
      </c>
      <c r="C57" s="12">
        <f>IFERROR(__xludf.DUMMYFUNCTION("""COMPUTED_VALUE"""),0.2743055555547471)</f>
        <v>0.2743055556</v>
      </c>
      <c r="D57" s="13">
        <f>IFERROR(__xludf.DUMMYFUNCTION("""COMPUTED_VALUE"""),0.024421296297077788)</f>
        <v>0.0244212963</v>
      </c>
      <c r="E57" s="10" t="str">
        <f>IFERROR(__xludf.DUMMYFUNCTION("""COMPUTED_VALUE"""),"Halden")</f>
        <v>Halden</v>
      </c>
      <c r="F57" s="13">
        <f>IFERROR(__xludf.DUMMYFUNCTION("""COMPUTED_VALUE"""),0.006261574075324461)</f>
        <v>0.006261574075</v>
      </c>
      <c r="I57" s="11">
        <f>IFERROR(__xludf.DUMMYFUNCTION("""COMPUTED_VALUE"""),43358.0)</f>
        <v>43358</v>
      </c>
      <c r="J57" s="12">
        <f>IFERROR(__xludf.DUMMYFUNCTION("""COMPUTED_VALUE"""),0.8618055555562023)</f>
        <v>0.8618055556</v>
      </c>
      <c r="K57" s="13">
        <f>IFERROR(__xludf.DUMMYFUNCTION("""COMPUTED_VALUE"""),0.03518518518467317)</f>
        <v>0.03518518518</v>
      </c>
      <c r="L57" s="10" t="str">
        <f>IFERROR(__xludf.DUMMYFUNCTION("""COMPUTED_VALUE"""),"San Luis Obispo")</f>
        <v>San Luis Obispo</v>
      </c>
      <c r="M57" s="13">
        <f>IFERROR(__xludf.DUMMYFUNCTION("""COMPUTED_VALUE"""),0.006157407406135462)</f>
        <v>0.006157407406</v>
      </c>
    </row>
    <row r="58" ht="15.75" customHeight="1">
      <c r="B58" s="11">
        <f>IFERROR(__xludf.DUMMYFUNCTION("""COMPUTED_VALUE"""),43313.0)</f>
        <v>43313</v>
      </c>
      <c r="C58" s="12">
        <f>IFERROR(__xludf.DUMMYFUNCTION("""COMPUTED_VALUE"""),0.2569444444452529)</f>
        <v>0.2569444444</v>
      </c>
      <c r="D58" s="13">
        <f>IFERROR(__xludf.DUMMYFUNCTION("""COMPUTED_VALUE"""),0.02449074073956581)</f>
        <v>0.02449074074</v>
      </c>
      <c r="E58" s="10" t="str">
        <f>IFERROR(__xludf.DUMMYFUNCTION("""COMPUTED_VALUE"""),"Jamshoro")</f>
        <v>Jamshoro</v>
      </c>
      <c r="F58" s="13">
        <f>IFERROR(__xludf.DUMMYFUNCTION("""COMPUTED_VALUE"""),0.0062731481484661344)</f>
        <v>0.006273148148</v>
      </c>
      <c r="I58" s="11">
        <f>IFERROR(__xludf.DUMMYFUNCTION("""COMPUTED_VALUE"""),43362.0)</f>
        <v>43362</v>
      </c>
      <c r="J58" s="12">
        <f>IFERROR(__xludf.DUMMYFUNCTION("""COMPUTED_VALUE"""),0.7597222222211713)</f>
        <v>0.7597222222</v>
      </c>
      <c r="K58" s="13">
        <f>IFERROR(__xludf.DUMMYFUNCTION("""COMPUTED_VALUE"""),0.028715277778246673)</f>
        <v>0.02871527778</v>
      </c>
      <c r="L58" s="10" t="str">
        <f>IFERROR(__xludf.DUMMYFUNCTION("""COMPUTED_VALUE"""),"San Luis Obispo")</f>
        <v>San Luis Obispo</v>
      </c>
      <c r="M58" s="13">
        <f>IFERROR(__xludf.DUMMYFUNCTION("""COMPUTED_VALUE"""),0.006168981482915115)</f>
        <v>0.006168981483</v>
      </c>
    </row>
    <row r="59" ht="15.75" customHeight="1">
      <c r="B59" s="11">
        <f>IFERROR(__xludf.DUMMYFUNCTION("""COMPUTED_VALUE"""),43299.0)</f>
        <v>43299</v>
      </c>
      <c r="C59" s="12">
        <f>IFERROR(__xludf.DUMMYFUNCTION("""COMPUTED_VALUE"""),0.28125)</f>
        <v>0.28125</v>
      </c>
      <c r="D59" s="13">
        <f>IFERROR(__xludf.DUMMYFUNCTION("""COMPUTED_VALUE"""),0.027650462961901212)</f>
        <v>0.02765046296</v>
      </c>
      <c r="E59" s="10" t="str">
        <f>IFERROR(__xludf.DUMMYFUNCTION("""COMPUTED_VALUE"""),"Mumbai")</f>
        <v>Mumbai</v>
      </c>
      <c r="F59" s="13">
        <f>IFERROR(__xludf.DUMMYFUNCTION("""COMPUTED_VALUE"""),0.006342592590954155)</f>
        <v>0.006342592591</v>
      </c>
      <c r="I59" s="11">
        <f>IFERROR(__xludf.DUMMYFUNCTION("""COMPUTED_VALUE"""),43411.0)</f>
        <v>43411</v>
      </c>
      <c r="J59" s="12">
        <f>IFERROR(__xludf.DUMMYFUNCTION("""COMPUTED_VALUE"""),0.7694444444459805)</f>
        <v>0.7694444444</v>
      </c>
      <c r="K59" s="13">
        <f>IFERROR(__xludf.DUMMYFUNCTION("""COMPUTED_VALUE"""),0.03884259259211831)</f>
        <v>0.03884259259</v>
      </c>
      <c r="L59" s="10" t="str">
        <f>IFERROR(__xludf.DUMMYFUNCTION("""COMPUTED_VALUE"""),"Tel Aviv")</f>
        <v>Tel Aviv</v>
      </c>
      <c r="M59" s="13">
        <f>IFERROR(__xludf.DUMMYFUNCTION("""COMPUTED_VALUE"""),0.006215277779119788)</f>
        <v>0.006215277779</v>
      </c>
    </row>
    <row r="60" ht="15.75" customHeight="1">
      <c r="B60" s="11">
        <f>IFERROR(__xludf.DUMMYFUNCTION("""COMPUTED_VALUE"""),43304.0)</f>
        <v>43304</v>
      </c>
      <c r="C60" s="12">
        <f>IFERROR(__xludf.DUMMYFUNCTION("""COMPUTED_VALUE"""),0.2916666666678793)</f>
        <v>0.2916666667</v>
      </c>
      <c r="D60" s="13">
        <f>IFERROR(__xludf.DUMMYFUNCTION("""COMPUTED_VALUE"""),0.02774305555431056)</f>
        <v>0.02774305555</v>
      </c>
      <c r="E60" s="10" t="str">
        <f>IFERROR(__xludf.DUMMYFUNCTION("""COMPUTED_VALUE"""),"Chicago")</f>
        <v>Chicago</v>
      </c>
      <c r="F60" s="13">
        <f>IFERROR(__xludf.DUMMYFUNCTION("""COMPUTED_VALUE"""),0.006354166667733807)</f>
        <v>0.006354166668</v>
      </c>
      <c r="I60" s="11">
        <f>IFERROR(__xludf.DUMMYFUNCTION("""COMPUTED_VALUE"""),43365.0)</f>
        <v>43365</v>
      </c>
      <c r="J60" s="12">
        <f>IFERROR(__xludf.DUMMYFUNCTION("""COMPUTED_VALUE"""),0.7861111111124046)</f>
        <v>0.7861111111</v>
      </c>
      <c r="K60" s="13">
        <f>IFERROR(__xludf.DUMMYFUNCTION("""COMPUTED_VALUE"""),0.035439814815617865)</f>
        <v>0.03543981482</v>
      </c>
      <c r="L60" s="10" t="str">
        <f>IFERROR(__xludf.DUMMYFUNCTION("""COMPUTED_VALUE"""),"San Luis Obispo")</f>
        <v>San Luis Obispo</v>
      </c>
      <c r="M60" s="13">
        <f>IFERROR(__xludf.DUMMYFUNCTION("""COMPUTED_VALUE"""),0.006238425925403135)</f>
        <v>0.006238425925</v>
      </c>
    </row>
    <row r="61" ht="15.75" customHeight="1">
      <c r="B61" s="11">
        <f>IFERROR(__xludf.DUMMYFUNCTION("""COMPUTED_VALUE"""),43330.0)</f>
        <v>43330</v>
      </c>
      <c r="C61" s="12">
        <f>IFERROR(__xludf.DUMMYFUNCTION("""COMPUTED_VALUE"""),0.29583333333357587)</f>
        <v>0.2958333333</v>
      </c>
      <c r="D61" s="13">
        <f>IFERROR(__xludf.DUMMYFUNCTION("""COMPUTED_VALUE"""),0.035162037038389826)</f>
        <v>0.03516203704</v>
      </c>
      <c r="E61" s="10" t="str">
        <f>IFERROR(__xludf.DUMMYFUNCTION("""COMPUTED_VALUE"""),"Mumbai")</f>
        <v>Mumbai</v>
      </c>
      <c r="F61" s="13">
        <f>IFERROR(__xludf.DUMMYFUNCTION("""COMPUTED_VALUE"""),0.006365740740875481)</f>
        <v>0.006365740741</v>
      </c>
      <c r="I61" s="11">
        <f>IFERROR(__xludf.DUMMYFUNCTION("""COMPUTED_VALUE"""),43336.0)</f>
        <v>43336</v>
      </c>
      <c r="J61" s="12">
        <f>IFERROR(__xludf.DUMMYFUNCTION("""COMPUTED_VALUE"""),0.851388888888323)</f>
        <v>0.8513888889</v>
      </c>
      <c r="K61" s="13">
        <f>IFERROR(__xludf.DUMMYFUNCTION("""COMPUTED_VALUE"""),0.02438657407401479)</f>
        <v>0.02438657407</v>
      </c>
      <c r="L61" s="10" t="str">
        <f>IFERROR(__xludf.DUMMYFUNCTION("""COMPUTED_VALUE"""),"Quezalguaque")</f>
        <v>Quezalguaque</v>
      </c>
      <c r="M61" s="13">
        <f>IFERROR(__xludf.DUMMYFUNCTION("""COMPUTED_VALUE"""),0.006331018517812481)</f>
        <v>0.006331018518</v>
      </c>
    </row>
    <row r="62" ht="15.75" customHeight="1">
      <c r="B62" s="11">
        <f>IFERROR(__xludf.DUMMYFUNCTION("""COMPUTED_VALUE"""),43347.0)</f>
        <v>43347</v>
      </c>
      <c r="C62" s="12">
        <f>IFERROR(__xludf.DUMMYFUNCTION("""COMPUTED_VALUE"""),0.2548611111124046)</f>
        <v>0.2548611111</v>
      </c>
      <c r="D62" s="13">
        <f>IFERROR(__xludf.DUMMYFUNCTION("""COMPUTED_VALUE"""),0.024421296297077788)</f>
        <v>0.0244212963</v>
      </c>
      <c r="E62" s="10" t="str">
        <f>IFERROR(__xludf.DUMMYFUNCTION("""COMPUTED_VALUE"""),"Mumbai")</f>
        <v>Mumbai</v>
      </c>
      <c r="F62" s="13">
        <f>IFERROR(__xludf.DUMMYFUNCTION("""COMPUTED_VALUE"""),0.006377314814017154)</f>
        <v>0.006377314814</v>
      </c>
      <c r="I62" s="11">
        <f>IFERROR(__xludf.DUMMYFUNCTION("""COMPUTED_VALUE"""),43386.0)</f>
        <v>43386</v>
      </c>
      <c r="J62" s="12">
        <f>IFERROR(__xludf.DUMMYFUNCTION("""COMPUTED_VALUE"""),0.757638888888323)</f>
        <v>0.7576388889</v>
      </c>
      <c r="K62" s="13">
        <f>IFERROR(__xludf.DUMMYFUNCTION("""COMPUTED_VALUE"""),0.031273148149921326)</f>
        <v>0.03127314815</v>
      </c>
      <c r="L62" s="10" t="str">
        <f>IFERROR(__xludf.DUMMYFUNCTION("""COMPUTED_VALUE"""),"Melbourne")</f>
        <v>Melbourne</v>
      </c>
      <c r="M62" s="13">
        <f>IFERROR(__xludf.DUMMYFUNCTION("""COMPUTED_VALUE"""),0.006365740740875481)</f>
        <v>0.006365740741</v>
      </c>
    </row>
    <row r="63" ht="15.75" customHeight="1">
      <c r="B63" s="11">
        <f>IFERROR(__xludf.DUMMYFUNCTION("""COMPUTED_VALUE"""),43327.0)</f>
        <v>43327</v>
      </c>
      <c r="C63" s="12">
        <f>IFERROR(__xludf.DUMMYFUNCTION("""COMPUTED_VALUE"""),0.26666666666642413)</f>
        <v>0.2666666667</v>
      </c>
      <c r="D63" s="13">
        <f>IFERROR(__xludf.DUMMYFUNCTION("""COMPUTED_VALUE"""),0.024409722223936114)</f>
        <v>0.02440972222</v>
      </c>
      <c r="E63" s="10" t="str">
        <f>IFERROR(__xludf.DUMMYFUNCTION("""COMPUTED_VALUE"""),"Jingxiyuan")</f>
        <v>Jingxiyuan</v>
      </c>
      <c r="F63" s="13">
        <f>IFERROR(__xludf.DUMMYFUNCTION("""COMPUTED_VALUE"""),0.006412037037080154)</f>
        <v>0.006412037037</v>
      </c>
      <c r="I63" s="11">
        <f>IFERROR(__xludf.DUMMYFUNCTION("""COMPUTED_VALUE"""),43383.0)</f>
        <v>43383</v>
      </c>
      <c r="J63" s="12">
        <f>IFERROR(__xludf.DUMMYFUNCTION("""COMPUTED_VALUE"""),0.8472222222226264)</f>
        <v>0.8472222222</v>
      </c>
      <c r="K63" s="13">
        <f>IFERROR(__xludf.DUMMYFUNCTION("""COMPUTED_VALUE"""),0.027881944442924578)</f>
        <v>0.02788194444</v>
      </c>
      <c r="L63" s="10" t="str">
        <f>IFERROR(__xludf.DUMMYFUNCTION("""COMPUTED_VALUE"""),"Runaway Bay")</f>
        <v>Runaway Bay</v>
      </c>
      <c r="M63" s="13">
        <f>IFERROR(__xludf.DUMMYFUNCTION("""COMPUTED_VALUE"""),0.006377314814017154)</f>
        <v>0.006377314814</v>
      </c>
    </row>
    <row r="64" ht="15.75" customHeight="1"/>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14" t="s">
        <v>5</v>
      </c>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I50:J50"/>
    <mergeCell ref="B50:C50"/>
  </mergeCells>
  <drawing r:id="rId1"/>
  <extLst>
    <ext uri="{3A4CF648-6AED-40f4-86FF-DC5316D8AED3}">
      <x14:slicerList>
        <x14:slicer r:id="rId2"/>
      </x14:slicerList>
    </ext>
  </extLst>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2.63"/>
    <col customWidth="1" min="3" max="3" width="20.25"/>
    <col customWidth="1" min="4" max="6" width="12.63"/>
  </cols>
  <sheetData>
    <row r="1" ht="15.75" customHeight="1">
      <c r="A1" s="15" t="s">
        <v>6</v>
      </c>
      <c r="B1" s="15" t="s">
        <v>7</v>
      </c>
      <c r="C1" s="15" t="s">
        <v>8</v>
      </c>
      <c r="D1" s="15" t="s">
        <v>9</v>
      </c>
      <c r="E1" s="15" t="s">
        <v>10</v>
      </c>
      <c r="F1" s="15" t="s">
        <v>11</v>
      </c>
      <c r="G1" s="15" t="s">
        <v>12</v>
      </c>
      <c r="H1" s="15" t="s">
        <v>13</v>
      </c>
      <c r="I1" s="15" t="s">
        <v>14</v>
      </c>
      <c r="J1" s="15" t="s">
        <v>15</v>
      </c>
      <c r="K1" s="15"/>
      <c r="L1" s="15"/>
      <c r="M1" s="15"/>
      <c r="N1" s="15"/>
      <c r="O1" s="15"/>
      <c r="P1" s="15"/>
      <c r="Q1" s="15"/>
      <c r="R1" s="15"/>
      <c r="S1" s="15"/>
      <c r="T1" s="15"/>
      <c r="U1" s="15"/>
      <c r="V1" s="15"/>
      <c r="W1" s="15"/>
      <c r="X1" s="15"/>
      <c r="Y1" s="15"/>
      <c r="Z1" s="15"/>
    </row>
    <row r="2" ht="15.75" customHeight="1">
      <c r="A2" s="16">
        <v>42872.0</v>
      </c>
      <c r="B2" s="17">
        <v>0.28055555555555556</v>
      </c>
      <c r="C2" s="18">
        <v>3030.0</v>
      </c>
      <c r="D2" s="19">
        <v>0.014328703703703703</v>
      </c>
      <c r="E2" s="18">
        <v>1238.0</v>
      </c>
      <c r="F2" s="18" t="s">
        <v>16</v>
      </c>
      <c r="G2" s="18">
        <v>1.88</v>
      </c>
      <c r="H2" s="18">
        <v>41.0</v>
      </c>
      <c r="I2" s="19">
        <v>0.007615740740740741</v>
      </c>
      <c r="J2" s="18" t="s">
        <v>17</v>
      </c>
    </row>
    <row r="3" ht="15.75" customHeight="1">
      <c r="A3" s="16">
        <v>42992.0</v>
      </c>
      <c r="B3" s="17">
        <v>0.8194444444444444</v>
      </c>
      <c r="C3" s="18">
        <v>4031.0</v>
      </c>
      <c r="D3" s="19">
        <v>0.019386574074074073</v>
      </c>
      <c r="E3" s="18">
        <v>1675.0</v>
      </c>
      <c r="F3" s="18" t="s">
        <v>18</v>
      </c>
      <c r="G3" s="18">
        <v>2.5</v>
      </c>
      <c r="H3" s="18">
        <v>55.0</v>
      </c>
      <c r="I3" s="19">
        <v>0.007743055555555556</v>
      </c>
      <c r="J3" s="18" t="s">
        <v>19</v>
      </c>
    </row>
    <row r="4" ht="15.75" customHeight="1">
      <c r="A4" s="16">
        <v>42996.0</v>
      </c>
      <c r="B4" s="17">
        <v>0.8743055555555556</v>
      </c>
      <c r="C4" s="18">
        <v>3067.0</v>
      </c>
      <c r="D4" s="19">
        <v>0.015520833333333333</v>
      </c>
      <c r="E4" s="18">
        <v>1341.0</v>
      </c>
      <c r="F4" s="18" t="s">
        <v>18</v>
      </c>
      <c r="G4" s="18">
        <v>1.91</v>
      </c>
      <c r="H4" s="18">
        <v>44.0</v>
      </c>
      <c r="I4" s="19">
        <v>0.008148148148148147</v>
      </c>
      <c r="J4" s="18" t="s">
        <v>19</v>
      </c>
    </row>
    <row r="5" ht="15.75" customHeight="1">
      <c r="A5" s="16">
        <v>42999.0</v>
      </c>
      <c r="B5" s="17">
        <v>0.66875</v>
      </c>
      <c r="C5" s="18">
        <v>4318.0</v>
      </c>
      <c r="D5" s="19">
        <v>0.018900462962962963</v>
      </c>
      <c r="E5" s="18">
        <v>1633.0</v>
      </c>
      <c r="F5" s="18" t="s">
        <v>20</v>
      </c>
      <c r="G5" s="18">
        <v>2.68</v>
      </c>
      <c r="H5" s="18">
        <v>54.0</v>
      </c>
      <c r="I5" s="19">
        <v>0.007048611111111111</v>
      </c>
      <c r="J5" s="18" t="s">
        <v>21</v>
      </c>
    </row>
    <row r="6" ht="15.75" customHeight="1">
      <c r="A6" s="16">
        <v>43211.0</v>
      </c>
      <c r="B6" s="17">
        <v>0.4361111111111111</v>
      </c>
      <c r="C6" s="18">
        <v>4005.0</v>
      </c>
      <c r="D6" s="19">
        <v>0.01863425925925926</v>
      </c>
      <c r="E6" s="18">
        <v>1610.0</v>
      </c>
      <c r="F6" s="18" t="s">
        <v>20</v>
      </c>
      <c r="G6" s="18">
        <v>2.49</v>
      </c>
      <c r="H6" s="18">
        <v>53.0</v>
      </c>
      <c r="I6" s="19">
        <v>0.007488425925925926</v>
      </c>
      <c r="J6" s="18" t="s">
        <v>17</v>
      </c>
    </row>
    <row r="7" ht="15.75" customHeight="1">
      <c r="A7" s="16">
        <v>43213.0</v>
      </c>
      <c r="B7" s="17">
        <v>0.8</v>
      </c>
      <c r="C7" s="18">
        <v>5028.0</v>
      </c>
      <c r="D7" s="19">
        <v>0.02329861111111111</v>
      </c>
      <c r="E7" s="18">
        <v>2013.0</v>
      </c>
      <c r="F7" s="18" t="s">
        <v>20</v>
      </c>
      <c r="G7" s="18">
        <v>3.12</v>
      </c>
      <c r="H7" s="18">
        <v>66.0</v>
      </c>
      <c r="I7" s="19">
        <v>0.007453703703703704</v>
      </c>
      <c r="J7" s="18" t="s">
        <v>19</v>
      </c>
    </row>
    <row r="8" ht="15.75" customHeight="1">
      <c r="A8" s="16">
        <v>43218.0</v>
      </c>
      <c r="B8" s="17">
        <v>0.8694444444444445</v>
      </c>
      <c r="C8" s="18">
        <v>4018.0</v>
      </c>
      <c r="D8" s="19">
        <v>0.018692129629629628</v>
      </c>
      <c r="E8" s="18">
        <v>1615.0</v>
      </c>
      <c r="F8" s="18" t="s">
        <v>20</v>
      </c>
      <c r="G8" s="18">
        <v>2.5</v>
      </c>
      <c r="H8" s="18">
        <v>53.0</v>
      </c>
      <c r="I8" s="19">
        <v>0.007488425925925926</v>
      </c>
      <c r="J8" s="18" t="s">
        <v>19</v>
      </c>
    </row>
    <row r="9" ht="15.75" customHeight="1">
      <c r="A9" s="16">
        <v>43220.0</v>
      </c>
      <c r="B9" s="17">
        <v>0.8493055555555555</v>
      </c>
      <c r="C9" s="18">
        <v>5072.0</v>
      </c>
      <c r="D9" s="19">
        <v>0.023715277777777776</v>
      </c>
      <c r="E9" s="18">
        <v>2049.0</v>
      </c>
      <c r="F9" s="18" t="s">
        <v>22</v>
      </c>
      <c r="G9" s="18">
        <v>3.15</v>
      </c>
      <c r="H9" s="18">
        <v>67.0</v>
      </c>
      <c r="I9" s="19">
        <v>0.007523148148148148</v>
      </c>
      <c r="J9" s="18" t="s">
        <v>19</v>
      </c>
    </row>
    <row r="10" ht="15.75" customHeight="1">
      <c r="A10" s="16">
        <v>43222.0</v>
      </c>
      <c r="B10" s="17">
        <v>0.8756944444444444</v>
      </c>
      <c r="C10" s="18">
        <v>5012.0</v>
      </c>
      <c r="D10" s="19">
        <v>0.022685185185185187</v>
      </c>
      <c r="E10" s="18">
        <v>1960.0</v>
      </c>
      <c r="F10" s="18" t="s">
        <v>22</v>
      </c>
      <c r="G10" s="18">
        <v>3.11</v>
      </c>
      <c r="H10" s="18">
        <v>64.0</v>
      </c>
      <c r="I10" s="19">
        <v>0.007280092592592592</v>
      </c>
      <c r="J10" s="18" t="s">
        <v>23</v>
      </c>
    </row>
    <row r="11" ht="15.75" customHeight="1">
      <c r="A11" s="16">
        <v>43227.0</v>
      </c>
      <c r="B11" s="17">
        <v>0.3090277777777778</v>
      </c>
      <c r="C11" s="18">
        <v>4046.0</v>
      </c>
      <c r="D11" s="19">
        <v>0.017638888888888888</v>
      </c>
      <c r="E11" s="18">
        <v>1524.0</v>
      </c>
      <c r="F11" s="18" t="s">
        <v>22</v>
      </c>
      <c r="G11" s="18">
        <v>2.51</v>
      </c>
      <c r="H11" s="18">
        <v>50.0</v>
      </c>
      <c r="I11" s="19">
        <v>0.007013888888888889</v>
      </c>
      <c r="J11" s="18" t="s">
        <v>17</v>
      </c>
    </row>
    <row r="12" ht="15.75" customHeight="1">
      <c r="A12" s="16">
        <v>43230.0</v>
      </c>
      <c r="B12" s="17">
        <v>0.7847222222222222</v>
      </c>
      <c r="C12" s="18">
        <v>5037.0</v>
      </c>
      <c r="D12" s="19">
        <v>0.02259259259259259</v>
      </c>
      <c r="E12" s="18">
        <v>1952.0</v>
      </c>
      <c r="F12" s="18" t="s">
        <v>22</v>
      </c>
      <c r="G12" s="18">
        <v>3.13</v>
      </c>
      <c r="H12" s="18">
        <v>64.0</v>
      </c>
      <c r="I12" s="19">
        <v>0.007222222222222222</v>
      </c>
      <c r="J12" s="18" t="s">
        <v>19</v>
      </c>
    </row>
    <row r="13" ht="15.75" customHeight="1">
      <c r="A13" s="16">
        <v>43233.0</v>
      </c>
      <c r="B13" s="17">
        <v>0.8013888888888889</v>
      </c>
      <c r="C13" s="18">
        <v>6042.0</v>
      </c>
      <c r="D13" s="19">
        <v>0.027280092592592592</v>
      </c>
      <c r="E13" s="18">
        <v>2357.0</v>
      </c>
      <c r="F13" s="18" t="s">
        <v>24</v>
      </c>
      <c r="G13" s="18">
        <v>3.75</v>
      </c>
      <c r="H13" s="18">
        <v>77.0</v>
      </c>
      <c r="I13" s="19">
        <v>0.007268518518518519</v>
      </c>
      <c r="J13" s="18" t="s">
        <v>19</v>
      </c>
    </row>
    <row r="14" ht="15.75" customHeight="1">
      <c r="A14" s="16">
        <v>43235.0</v>
      </c>
      <c r="B14" s="17">
        <v>0.8354166666666667</v>
      </c>
      <c r="C14" s="18">
        <v>5089.0</v>
      </c>
      <c r="D14" s="19">
        <v>0.02300925925925926</v>
      </c>
      <c r="E14" s="18">
        <v>1988.0</v>
      </c>
      <c r="F14" s="18" t="s">
        <v>24</v>
      </c>
      <c r="G14" s="18">
        <v>3.16</v>
      </c>
      <c r="H14" s="18">
        <v>65.0</v>
      </c>
      <c r="I14" s="19">
        <v>0.007280092592592592</v>
      </c>
      <c r="J14" s="18" t="s">
        <v>19</v>
      </c>
    </row>
    <row r="15" ht="15.75" customHeight="1">
      <c r="A15" s="16">
        <v>43237.0</v>
      </c>
      <c r="B15" s="17">
        <v>0.2847222222222222</v>
      </c>
      <c r="C15" s="18">
        <v>4027.0</v>
      </c>
      <c r="D15" s="19">
        <v>0.017673611111111112</v>
      </c>
      <c r="E15" s="18">
        <v>1527.0</v>
      </c>
      <c r="F15" s="18" t="s">
        <v>24</v>
      </c>
      <c r="G15" s="18">
        <v>2.5</v>
      </c>
      <c r="H15" s="18">
        <v>50.0</v>
      </c>
      <c r="I15" s="19">
        <v>0.007060185185185185</v>
      </c>
      <c r="J15" s="18" t="s">
        <v>17</v>
      </c>
    </row>
    <row r="16" ht="15.75" customHeight="1">
      <c r="A16" s="16">
        <v>43239.0</v>
      </c>
      <c r="B16" s="17">
        <v>0.7673611111111112</v>
      </c>
      <c r="C16" s="18">
        <v>5022.0</v>
      </c>
      <c r="D16" s="19">
        <v>0.022118055555555554</v>
      </c>
      <c r="E16" s="18">
        <v>1911.0</v>
      </c>
      <c r="F16" s="18" t="s">
        <v>24</v>
      </c>
      <c r="G16" s="18">
        <v>3.12</v>
      </c>
      <c r="H16" s="18">
        <v>63.0</v>
      </c>
      <c r="I16" s="19">
        <v>0.007083333333333333</v>
      </c>
      <c r="J16" s="18" t="s">
        <v>19</v>
      </c>
    </row>
    <row r="17" ht="15.75" customHeight="1">
      <c r="A17" s="16">
        <v>43241.0</v>
      </c>
      <c r="B17" s="17">
        <v>0.8291666666666667</v>
      </c>
      <c r="C17" s="18">
        <v>6026.0</v>
      </c>
      <c r="D17" s="19">
        <v>0.026550925925925926</v>
      </c>
      <c r="E17" s="18">
        <v>2294.0</v>
      </c>
      <c r="F17" s="18" t="s">
        <v>25</v>
      </c>
      <c r="G17" s="18">
        <v>3.74</v>
      </c>
      <c r="H17" s="18">
        <v>75.0</v>
      </c>
      <c r="I17" s="19">
        <v>0.007094907407407407</v>
      </c>
      <c r="J17" s="18" t="s">
        <v>19</v>
      </c>
    </row>
    <row r="18" ht="15.75" customHeight="1">
      <c r="A18" s="16">
        <v>43243.0</v>
      </c>
      <c r="B18" s="17">
        <v>0.3423611111111111</v>
      </c>
      <c r="C18" s="18">
        <v>4061.0</v>
      </c>
      <c r="D18" s="19">
        <v>0.018125</v>
      </c>
      <c r="E18" s="18">
        <v>1566.0</v>
      </c>
      <c r="F18" s="18" t="s">
        <v>20</v>
      </c>
      <c r="G18" s="18">
        <v>2.52</v>
      </c>
      <c r="H18" s="18">
        <v>51.0</v>
      </c>
      <c r="I18" s="19">
        <v>0.0071875</v>
      </c>
      <c r="J18" s="18" t="s">
        <v>17</v>
      </c>
    </row>
    <row r="19" ht="15.75" customHeight="1">
      <c r="A19" s="16">
        <v>43246.0</v>
      </c>
      <c r="B19" s="17">
        <v>0.7861111111111111</v>
      </c>
      <c r="C19" s="18">
        <v>4897.0</v>
      </c>
      <c r="D19" s="19">
        <v>0.022476851851851852</v>
      </c>
      <c r="E19" s="18">
        <v>1942.0</v>
      </c>
      <c r="F19" s="18" t="s">
        <v>20</v>
      </c>
      <c r="G19" s="18">
        <v>3.04</v>
      </c>
      <c r="H19" s="18">
        <v>64.0</v>
      </c>
      <c r="I19" s="19">
        <v>0.00738425925925926</v>
      </c>
      <c r="J19" s="18" t="s">
        <v>19</v>
      </c>
    </row>
    <row r="20" ht="15.75" customHeight="1">
      <c r="A20" s="16">
        <v>43248.0</v>
      </c>
      <c r="B20" s="17">
        <v>0.74375</v>
      </c>
      <c r="C20" s="18">
        <v>5842.0</v>
      </c>
      <c r="D20" s="19">
        <v>0.027199074074074073</v>
      </c>
      <c r="E20" s="18">
        <v>2350.0</v>
      </c>
      <c r="F20" s="18" t="s">
        <v>20</v>
      </c>
      <c r="G20" s="18">
        <v>3.63</v>
      </c>
      <c r="H20" s="18">
        <v>77.0</v>
      </c>
      <c r="I20" s="19">
        <v>0.007488425925925926</v>
      </c>
      <c r="J20" s="18" t="s">
        <v>21</v>
      </c>
    </row>
    <row r="21" ht="15.75" customHeight="1">
      <c r="A21" s="16">
        <v>43251.0</v>
      </c>
      <c r="B21" s="17">
        <v>0.3173611111111111</v>
      </c>
      <c r="C21" s="18">
        <v>4723.0</v>
      </c>
      <c r="D21" s="19">
        <v>0.019710648148148147</v>
      </c>
      <c r="E21" s="18">
        <v>1703.0</v>
      </c>
      <c r="F21" s="18" t="s">
        <v>20</v>
      </c>
      <c r="G21" s="18">
        <v>2.93</v>
      </c>
      <c r="H21" s="18">
        <v>56.0</v>
      </c>
      <c r="I21" s="19">
        <v>0.006712962962962963</v>
      </c>
      <c r="J21" s="18" t="s">
        <v>17</v>
      </c>
    </row>
    <row r="22" ht="15.75" customHeight="1">
      <c r="A22" s="16">
        <v>43253.0</v>
      </c>
      <c r="B22" s="17">
        <v>0.7347222222222223</v>
      </c>
      <c r="C22" s="18">
        <v>4012.0</v>
      </c>
      <c r="D22" s="19">
        <v>0.01738425925925926</v>
      </c>
      <c r="E22" s="18">
        <v>1502.0</v>
      </c>
      <c r="F22" s="18" t="s">
        <v>20</v>
      </c>
      <c r="G22" s="18">
        <v>2.49</v>
      </c>
      <c r="H22" s="18">
        <v>49.0</v>
      </c>
      <c r="I22" s="19">
        <v>0.0069791666666666665</v>
      </c>
      <c r="J22" s="18" t="s">
        <v>21</v>
      </c>
    </row>
    <row r="23" ht="15.75" customHeight="1">
      <c r="A23" s="16">
        <v>43255.0</v>
      </c>
      <c r="B23" s="17">
        <v>0.7743055555555556</v>
      </c>
      <c r="C23" s="18">
        <v>6015.0</v>
      </c>
      <c r="D23" s="19">
        <v>0.025300925925925925</v>
      </c>
      <c r="E23" s="18">
        <v>2186.0</v>
      </c>
      <c r="F23" s="18" t="s">
        <v>26</v>
      </c>
      <c r="G23" s="18">
        <v>3.74</v>
      </c>
      <c r="H23" s="18">
        <v>72.0</v>
      </c>
      <c r="I23" s="19">
        <v>0.0067708333333333336</v>
      </c>
      <c r="J23" s="18" t="s">
        <v>19</v>
      </c>
    </row>
    <row r="24" ht="15.75" customHeight="1">
      <c r="A24" s="16">
        <v>43257.0</v>
      </c>
      <c r="B24" s="17">
        <v>0.3013888888888889</v>
      </c>
      <c r="C24" s="18">
        <v>4011.0</v>
      </c>
      <c r="D24" s="19">
        <v>0.0171875</v>
      </c>
      <c r="E24" s="18">
        <v>1485.0</v>
      </c>
      <c r="F24" s="18" t="s">
        <v>27</v>
      </c>
      <c r="G24" s="18">
        <v>2.49</v>
      </c>
      <c r="H24" s="18">
        <v>49.0</v>
      </c>
      <c r="I24" s="19">
        <v>0.006898148148148148</v>
      </c>
      <c r="J24" s="18" t="s">
        <v>17</v>
      </c>
    </row>
    <row r="25" ht="15.75" customHeight="1">
      <c r="A25" s="16">
        <v>43259.0</v>
      </c>
      <c r="B25" s="17">
        <v>0.33194444444444443</v>
      </c>
      <c r="C25" s="18">
        <v>4010.0</v>
      </c>
      <c r="D25" s="19">
        <v>0.016921296296296295</v>
      </c>
      <c r="E25" s="18">
        <v>1462.0</v>
      </c>
      <c r="F25" s="18" t="s">
        <v>27</v>
      </c>
      <c r="G25" s="18">
        <v>2.49</v>
      </c>
      <c r="H25" s="18">
        <v>48.0</v>
      </c>
      <c r="I25" s="19">
        <v>0.006793981481481482</v>
      </c>
      <c r="J25" s="18" t="s">
        <v>17</v>
      </c>
    </row>
    <row r="26" ht="15.75" customHeight="1">
      <c r="A26" s="16">
        <v>43262.0</v>
      </c>
      <c r="B26" s="17">
        <v>0.29930555555555555</v>
      </c>
      <c r="C26" s="18">
        <v>5012.0</v>
      </c>
      <c r="D26" s="19">
        <v>0.02153935185185185</v>
      </c>
      <c r="E26" s="18">
        <v>1861.0</v>
      </c>
      <c r="F26" s="18" t="s">
        <v>27</v>
      </c>
      <c r="G26" s="18">
        <v>3.11</v>
      </c>
      <c r="H26" s="18">
        <v>61.0</v>
      </c>
      <c r="I26" s="19">
        <v>0.006921296296296296</v>
      </c>
      <c r="J26" s="18" t="s">
        <v>17</v>
      </c>
    </row>
    <row r="27" ht="15.75" customHeight="1">
      <c r="A27" s="16">
        <v>43264.0</v>
      </c>
      <c r="B27" s="17">
        <v>0.2923611111111111</v>
      </c>
      <c r="C27" s="18">
        <v>6009.0</v>
      </c>
      <c r="D27" s="19">
        <v>0.024849537037037038</v>
      </c>
      <c r="E27" s="18">
        <v>2147.0</v>
      </c>
      <c r="F27" s="18" t="s">
        <v>27</v>
      </c>
      <c r="G27" s="18">
        <v>3.73</v>
      </c>
      <c r="H27" s="18">
        <v>70.0</v>
      </c>
      <c r="I27" s="19">
        <v>0.006655092592592593</v>
      </c>
      <c r="J27" s="18" t="s">
        <v>17</v>
      </c>
    </row>
    <row r="28" ht="15.75" customHeight="1">
      <c r="A28" s="16">
        <v>43267.0</v>
      </c>
      <c r="B28" s="17">
        <v>0.8298611111111112</v>
      </c>
      <c r="C28" s="18">
        <v>4010.0</v>
      </c>
      <c r="D28" s="19">
        <v>0.01783564814814815</v>
      </c>
      <c r="E28" s="18">
        <v>1541.0</v>
      </c>
      <c r="F28" s="18" t="s">
        <v>28</v>
      </c>
      <c r="G28" s="18">
        <v>2.49</v>
      </c>
      <c r="H28" s="18">
        <v>51.0</v>
      </c>
      <c r="I28" s="19">
        <v>0.007152777777777778</v>
      </c>
      <c r="J28" s="18" t="s">
        <v>19</v>
      </c>
    </row>
    <row r="29" ht="15.75" customHeight="1">
      <c r="A29" s="16">
        <v>43269.0</v>
      </c>
      <c r="B29" s="17">
        <v>0.2951388888888889</v>
      </c>
      <c r="C29" s="18">
        <v>4913.0</v>
      </c>
      <c r="D29" s="19">
        <v>0.020844907407407406</v>
      </c>
      <c r="E29" s="18">
        <v>1801.0</v>
      </c>
      <c r="F29" s="18" t="s">
        <v>29</v>
      </c>
      <c r="G29" s="18">
        <v>3.05</v>
      </c>
      <c r="H29" s="18">
        <v>59.0</v>
      </c>
      <c r="I29" s="19">
        <v>0.006828703703703704</v>
      </c>
      <c r="J29" s="18" t="s">
        <v>17</v>
      </c>
    </row>
    <row r="30" ht="15.75" customHeight="1">
      <c r="A30" s="16">
        <v>43271.0</v>
      </c>
      <c r="B30" s="17">
        <v>0.3111111111111111</v>
      </c>
      <c r="C30" s="18">
        <v>4834.0</v>
      </c>
      <c r="D30" s="19">
        <v>0.020856481481481483</v>
      </c>
      <c r="E30" s="18">
        <v>1802.0</v>
      </c>
      <c r="F30" s="18" t="s">
        <v>30</v>
      </c>
      <c r="G30" s="18">
        <v>3.0</v>
      </c>
      <c r="H30" s="18">
        <v>59.0</v>
      </c>
      <c r="I30" s="19">
        <v>0.006944444444444444</v>
      </c>
      <c r="J30" s="18" t="s">
        <v>17</v>
      </c>
    </row>
    <row r="31" ht="15.75" customHeight="1">
      <c r="A31" s="16">
        <v>43276.0</v>
      </c>
      <c r="B31" s="17">
        <v>0.29444444444444445</v>
      </c>
      <c r="C31" s="18">
        <v>7007.0</v>
      </c>
      <c r="D31" s="19">
        <v>0.02960648148148148</v>
      </c>
      <c r="E31" s="18">
        <v>2558.0</v>
      </c>
      <c r="F31" s="18" t="s">
        <v>31</v>
      </c>
      <c r="G31" s="18">
        <v>4.35</v>
      </c>
      <c r="H31" s="18">
        <v>84.0</v>
      </c>
      <c r="I31" s="19">
        <v>0.006805555555555555</v>
      </c>
      <c r="J31" s="18" t="s">
        <v>17</v>
      </c>
    </row>
    <row r="32" ht="15.75" customHeight="1">
      <c r="A32" s="16">
        <v>43273.0</v>
      </c>
      <c r="B32" s="17">
        <v>0.7826388888888889</v>
      </c>
      <c r="C32" s="18">
        <v>6695.0</v>
      </c>
      <c r="D32" s="19">
        <v>0.027777777777777776</v>
      </c>
      <c r="E32" s="18">
        <v>2400.0</v>
      </c>
      <c r="F32" s="18" t="s">
        <v>32</v>
      </c>
      <c r="G32" s="18">
        <v>4.16</v>
      </c>
      <c r="H32" s="18">
        <v>79.0</v>
      </c>
      <c r="I32" s="19">
        <v>0.006678240740740741</v>
      </c>
      <c r="J32" s="18" t="s">
        <v>19</v>
      </c>
    </row>
    <row r="33" ht="15.75" customHeight="1">
      <c r="A33" s="16">
        <v>43278.0</v>
      </c>
      <c r="B33" s="17">
        <v>0.30069444444444443</v>
      </c>
      <c r="C33" s="18">
        <v>5006.0</v>
      </c>
      <c r="D33" s="19">
        <v>0.021238425925925924</v>
      </c>
      <c r="E33" s="18">
        <v>1835.0</v>
      </c>
      <c r="F33" s="18" t="s">
        <v>32</v>
      </c>
      <c r="G33" s="18">
        <v>3.11</v>
      </c>
      <c r="H33" s="18">
        <v>60.0</v>
      </c>
      <c r="I33" s="19">
        <v>0.006828703703703704</v>
      </c>
      <c r="J33" s="18" t="s">
        <v>17</v>
      </c>
    </row>
    <row r="34" ht="15.75" customHeight="1">
      <c r="A34" s="16">
        <v>43281.0</v>
      </c>
      <c r="B34" s="17">
        <v>0.33541666666666664</v>
      </c>
      <c r="C34" s="18">
        <v>8004.0</v>
      </c>
      <c r="D34" s="19">
        <v>0.034618055555555555</v>
      </c>
      <c r="E34" s="18">
        <v>2991.0</v>
      </c>
      <c r="F34" s="18" t="s">
        <v>32</v>
      </c>
      <c r="G34" s="18">
        <v>4.97</v>
      </c>
      <c r="H34" s="18">
        <v>98.0</v>
      </c>
      <c r="I34" s="19">
        <v>0.0069560185185185185</v>
      </c>
      <c r="J34" s="18" t="s">
        <v>17</v>
      </c>
    </row>
    <row r="35" ht="15.75" customHeight="1">
      <c r="A35" s="16">
        <v>43283.0</v>
      </c>
      <c r="B35" s="17">
        <v>0.28402777777777777</v>
      </c>
      <c r="C35" s="18">
        <v>7013.0</v>
      </c>
      <c r="D35" s="19">
        <v>0.029548611111111112</v>
      </c>
      <c r="E35" s="18">
        <v>2553.0</v>
      </c>
      <c r="F35" s="18" t="s">
        <v>32</v>
      </c>
      <c r="G35" s="18">
        <v>4.36</v>
      </c>
      <c r="H35" s="18">
        <v>84.0</v>
      </c>
      <c r="I35" s="19">
        <v>0.006782407407407407</v>
      </c>
      <c r="J35" s="18" t="s">
        <v>17</v>
      </c>
    </row>
    <row r="36" ht="15.75" customHeight="1">
      <c r="A36" s="16">
        <v>43285.0</v>
      </c>
      <c r="B36" s="17">
        <v>0.29375</v>
      </c>
      <c r="C36" s="18">
        <v>7005.0</v>
      </c>
      <c r="D36" s="19">
        <v>0.03130787037037037</v>
      </c>
      <c r="E36" s="18">
        <v>2705.0</v>
      </c>
      <c r="F36" s="18" t="s">
        <v>32</v>
      </c>
      <c r="G36" s="18">
        <v>4.35</v>
      </c>
      <c r="H36" s="18">
        <v>89.0</v>
      </c>
      <c r="I36" s="19">
        <v>0.0071875</v>
      </c>
      <c r="J36" s="18" t="s">
        <v>17</v>
      </c>
    </row>
    <row r="37" ht="15.75" customHeight="1">
      <c r="A37" s="16">
        <v>43290.0</v>
      </c>
      <c r="B37" s="17">
        <v>0.28680555555555554</v>
      </c>
      <c r="C37" s="18">
        <v>7006.0</v>
      </c>
      <c r="D37" s="19">
        <v>0.028715277777777777</v>
      </c>
      <c r="E37" s="18">
        <v>2481.0</v>
      </c>
      <c r="F37" s="18" t="s">
        <v>33</v>
      </c>
      <c r="G37" s="18">
        <v>4.35</v>
      </c>
      <c r="H37" s="18">
        <v>81.0</v>
      </c>
      <c r="I37" s="19">
        <v>0.006597222222222222</v>
      </c>
      <c r="J37" s="18" t="s">
        <v>17</v>
      </c>
    </row>
    <row r="38" ht="15.75" customHeight="1">
      <c r="A38" s="16">
        <v>43287.0</v>
      </c>
      <c r="B38" s="17">
        <v>0.2923611111111111</v>
      </c>
      <c r="C38" s="18">
        <v>7004.0</v>
      </c>
      <c r="D38" s="19">
        <v>0.029976851851851852</v>
      </c>
      <c r="E38" s="18">
        <v>2590.0</v>
      </c>
      <c r="F38" s="18" t="s">
        <v>34</v>
      </c>
      <c r="G38" s="18">
        <v>4.35</v>
      </c>
      <c r="H38" s="18">
        <v>85.0</v>
      </c>
      <c r="I38" s="19">
        <v>0.0068865740740740745</v>
      </c>
      <c r="J38" s="18" t="s">
        <v>17</v>
      </c>
    </row>
    <row r="39" ht="15.75" customHeight="1">
      <c r="A39" s="16">
        <v>43292.0</v>
      </c>
      <c r="B39" s="17">
        <v>0.29791666666666666</v>
      </c>
      <c r="C39" s="18">
        <v>5030.0</v>
      </c>
      <c r="D39" s="19">
        <v>0.021099537037037038</v>
      </c>
      <c r="E39" s="18">
        <v>1823.0</v>
      </c>
      <c r="F39" s="18" t="s">
        <v>29</v>
      </c>
      <c r="G39" s="18">
        <v>3.13</v>
      </c>
      <c r="H39" s="18">
        <v>60.0</v>
      </c>
      <c r="I39" s="19">
        <v>0.0067476851851851856</v>
      </c>
      <c r="J39" s="18" t="s">
        <v>17</v>
      </c>
    </row>
    <row r="40" ht="15.75" customHeight="1">
      <c r="A40" s="16">
        <v>43294.0</v>
      </c>
      <c r="B40" s="17">
        <v>0.7409722222222223</v>
      </c>
      <c r="C40" s="18">
        <v>8011.0</v>
      </c>
      <c r="D40" s="19">
        <v>0.03471064814814815</v>
      </c>
      <c r="E40" s="18">
        <v>2999.0</v>
      </c>
      <c r="F40" s="18" t="s">
        <v>35</v>
      </c>
      <c r="G40" s="18">
        <v>4.98</v>
      </c>
      <c r="H40" s="18">
        <v>98.0</v>
      </c>
      <c r="I40" s="19">
        <v>0.006967592592592593</v>
      </c>
      <c r="J40" s="18" t="s">
        <v>21</v>
      </c>
    </row>
    <row r="41" ht="15.75" customHeight="1">
      <c r="A41" s="16">
        <v>43297.0</v>
      </c>
      <c r="B41" s="17">
        <v>0.26944444444444443</v>
      </c>
      <c r="C41" s="18">
        <v>7015.0</v>
      </c>
      <c r="D41" s="19">
        <v>0.026990740740740742</v>
      </c>
      <c r="E41" s="18">
        <v>2332.0</v>
      </c>
      <c r="F41" s="18" t="s">
        <v>36</v>
      </c>
      <c r="G41" s="18">
        <v>4.36</v>
      </c>
      <c r="H41" s="18">
        <v>77.0</v>
      </c>
      <c r="I41" s="19">
        <v>0.00619212962962963</v>
      </c>
      <c r="J41" s="18" t="s">
        <v>17</v>
      </c>
    </row>
    <row r="42" ht="15.75" customHeight="1">
      <c r="A42" s="16">
        <v>43299.0</v>
      </c>
      <c r="B42" s="17">
        <v>0.28125</v>
      </c>
      <c r="C42" s="18">
        <v>7010.0</v>
      </c>
      <c r="D42" s="19">
        <v>0.027650462962962963</v>
      </c>
      <c r="E42" s="18">
        <v>2389.0</v>
      </c>
      <c r="F42" s="18" t="s">
        <v>37</v>
      </c>
      <c r="G42" s="18">
        <v>4.36</v>
      </c>
      <c r="H42" s="18">
        <v>78.0</v>
      </c>
      <c r="I42" s="19">
        <v>0.006342592592592592</v>
      </c>
      <c r="J42" s="18" t="s">
        <v>17</v>
      </c>
    </row>
    <row r="43" ht="15.75" customHeight="1">
      <c r="A43" s="16">
        <v>43301.0</v>
      </c>
      <c r="B43" s="17">
        <v>0.7527777777777778</v>
      </c>
      <c r="C43" s="18">
        <v>8003.0</v>
      </c>
      <c r="D43" s="19">
        <v>0.032303240740740743</v>
      </c>
      <c r="E43" s="18">
        <v>2791.0</v>
      </c>
      <c r="F43" s="18" t="s">
        <v>38</v>
      </c>
      <c r="G43" s="18">
        <v>4.97</v>
      </c>
      <c r="H43" s="18">
        <v>92.0</v>
      </c>
      <c r="I43" s="19">
        <v>0.006493055555555556</v>
      </c>
      <c r="J43" s="18" t="s">
        <v>19</v>
      </c>
    </row>
    <row r="44" ht="15.75" customHeight="1">
      <c r="A44" s="16">
        <v>43304.0</v>
      </c>
      <c r="B44" s="17">
        <v>0.2916666666666667</v>
      </c>
      <c r="C44" s="18">
        <v>7030.0</v>
      </c>
      <c r="D44" s="19">
        <v>0.027743055555555556</v>
      </c>
      <c r="E44" s="18">
        <v>2397.0</v>
      </c>
      <c r="F44" s="18" t="s">
        <v>29</v>
      </c>
      <c r="G44" s="18">
        <v>4.37</v>
      </c>
      <c r="H44" s="18">
        <v>79.0</v>
      </c>
      <c r="I44" s="19">
        <v>0.006354166666666667</v>
      </c>
      <c r="J44" s="18" t="s">
        <v>17</v>
      </c>
    </row>
    <row r="45" ht="15.75" customHeight="1">
      <c r="A45" s="16">
        <v>43306.0</v>
      </c>
      <c r="B45" s="17">
        <v>0.25833333333333336</v>
      </c>
      <c r="C45" s="18">
        <v>7005.0</v>
      </c>
      <c r="D45" s="19">
        <v>0.027083333333333334</v>
      </c>
      <c r="E45" s="18">
        <v>2340.0</v>
      </c>
      <c r="F45" s="18" t="s">
        <v>22</v>
      </c>
      <c r="G45" s="18">
        <v>4.35</v>
      </c>
      <c r="H45" s="18">
        <v>77.0</v>
      </c>
      <c r="I45" s="19">
        <v>0.0062268518518518515</v>
      </c>
      <c r="J45" s="18" t="s">
        <v>17</v>
      </c>
    </row>
    <row r="46" ht="15.75" customHeight="1">
      <c r="A46" s="16">
        <v>43309.0</v>
      </c>
      <c r="B46" s="17">
        <v>0.8597222222222223</v>
      </c>
      <c r="C46" s="18">
        <v>5010.0</v>
      </c>
      <c r="D46" s="19">
        <v>0.020868055555555556</v>
      </c>
      <c r="E46" s="18">
        <v>1803.0</v>
      </c>
      <c r="F46" s="18" t="s">
        <v>22</v>
      </c>
      <c r="G46" s="18">
        <v>3.11</v>
      </c>
      <c r="H46" s="18">
        <v>59.0</v>
      </c>
      <c r="I46" s="19">
        <v>0.006701388888888889</v>
      </c>
      <c r="J46" s="18" t="s">
        <v>19</v>
      </c>
    </row>
    <row r="47" ht="15.75" customHeight="1">
      <c r="A47" s="16">
        <v>43311.0</v>
      </c>
      <c r="B47" s="17">
        <v>0.2673611111111111</v>
      </c>
      <c r="C47" s="18">
        <v>6365.0</v>
      </c>
      <c r="D47" s="19">
        <v>0.024305555555555556</v>
      </c>
      <c r="E47" s="18">
        <v>2100.0</v>
      </c>
      <c r="F47" s="18" t="s">
        <v>22</v>
      </c>
      <c r="G47" s="18">
        <v>3.95</v>
      </c>
      <c r="H47" s="18">
        <v>69.0</v>
      </c>
      <c r="I47" s="19">
        <v>0.006145833333333333</v>
      </c>
      <c r="J47" s="18" t="s">
        <v>17</v>
      </c>
    </row>
    <row r="48" ht="15.75" customHeight="1">
      <c r="A48" s="16">
        <v>43313.0</v>
      </c>
      <c r="B48" s="17">
        <v>0.2569444444444444</v>
      </c>
      <c r="C48" s="18">
        <v>6280.0</v>
      </c>
      <c r="D48" s="19">
        <v>0.02449074074074074</v>
      </c>
      <c r="E48" s="18">
        <v>2116.0</v>
      </c>
      <c r="F48" s="18" t="s">
        <v>39</v>
      </c>
      <c r="G48" s="18">
        <v>3.9</v>
      </c>
      <c r="H48" s="18">
        <v>69.0</v>
      </c>
      <c r="I48" s="19">
        <v>0.006273148148148148</v>
      </c>
      <c r="J48" s="18" t="s">
        <v>17</v>
      </c>
    </row>
    <row r="49" ht="15.75" customHeight="1">
      <c r="A49" s="16">
        <v>43315.0</v>
      </c>
      <c r="B49" s="17">
        <v>0.26944444444444443</v>
      </c>
      <c r="C49" s="18">
        <v>8632.0</v>
      </c>
      <c r="D49" s="19">
        <v>0.03480324074074074</v>
      </c>
      <c r="E49" s="18">
        <v>3007.0</v>
      </c>
      <c r="F49" s="18" t="s">
        <v>24</v>
      </c>
      <c r="G49" s="18">
        <v>5.36</v>
      </c>
      <c r="H49" s="18">
        <v>99.0</v>
      </c>
      <c r="I49" s="19">
        <v>0.006493055555555556</v>
      </c>
      <c r="J49" s="18" t="s">
        <v>17</v>
      </c>
    </row>
    <row r="50" ht="15.75" customHeight="1">
      <c r="A50" s="16">
        <v>43320.0</v>
      </c>
      <c r="B50" s="17">
        <v>0.23055555555555557</v>
      </c>
      <c r="C50" s="18">
        <v>5702.0</v>
      </c>
      <c r="D50" s="19">
        <v>0.024722222222222222</v>
      </c>
      <c r="E50" s="18">
        <v>2136.0</v>
      </c>
      <c r="F50" s="18" t="s">
        <v>24</v>
      </c>
      <c r="G50" s="18">
        <v>3.54</v>
      </c>
      <c r="H50" s="18">
        <v>70.0</v>
      </c>
      <c r="I50" s="19">
        <v>0.0069791666666666665</v>
      </c>
      <c r="J50" s="18" t="s">
        <v>17</v>
      </c>
    </row>
    <row r="51" ht="15.75" customHeight="1">
      <c r="A51" s="16">
        <v>43322.0</v>
      </c>
      <c r="B51" s="17">
        <v>0.26666666666666666</v>
      </c>
      <c r="C51" s="18">
        <v>8590.0</v>
      </c>
      <c r="D51" s="19">
        <v>0.034930555555555555</v>
      </c>
      <c r="E51" s="18">
        <v>3018.0</v>
      </c>
      <c r="F51" s="18" t="s">
        <v>24</v>
      </c>
      <c r="G51" s="18">
        <v>5.34</v>
      </c>
      <c r="H51" s="18">
        <v>99.0</v>
      </c>
      <c r="I51" s="19">
        <v>0.006539351851851852</v>
      </c>
      <c r="J51" s="18" t="s">
        <v>17</v>
      </c>
    </row>
    <row r="52" ht="15.75" customHeight="1">
      <c r="A52" s="16">
        <v>43325.0</v>
      </c>
      <c r="B52" s="17">
        <v>0.2743055555555556</v>
      </c>
      <c r="C52" s="18">
        <v>6272.0</v>
      </c>
      <c r="D52" s="19">
        <v>0.024421296296296295</v>
      </c>
      <c r="E52" s="18">
        <v>2110.0</v>
      </c>
      <c r="F52" s="18" t="s">
        <v>40</v>
      </c>
      <c r="G52" s="18">
        <v>3.9</v>
      </c>
      <c r="H52" s="18">
        <v>69.0</v>
      </c>
      <c r="I52" s="19">
        <v>0.006261574074074074</v>
      </c>
      <c r="J52" s="18" t="s">
        <v>17</v>
      </c>
    </row>
    <row r="53" ht="15.75" customHeight="1">
      <c r="A53" s="16">
        <v>43327.0</v>
      </c>
      <c r="B53" s="17">
        <v>0.26666666666666666</v>
      </c>
      <c r="C53" s="18">
        <v>6125.0</v>
      </c>
      <c r="D53" s="19">
        <v>0.02440972222222222</v>
      </c>
      <c r="E53" s="18">
        <v>2109.0</v>
      </c>
      <c r="F53" s="18" t="s">
        <v>41</v>
      </c>
      <c r="G53" s="18">
        <v>3.81</v>
      </c>
      <c r="H53" s="18">
        <v>69.0</v>
      </c>
      <c r="I53" s="19">
        <v>0.006412037037037037</v>
      </c>
      <c r="J53" s="18" t="s">
        <v>17</v>
      </c>
    </row>
    <row r="54" ht="15.75" customHeight="1">
      <c r="A54" s="16">
        <v>43330.0</v>
      </c>
      <c r="B54" s="17">
        <v>0.29583333333333334</v>
      </c>
      <c r="C54" s="18">
        <v>8885.0</v>
      </c>
      <c r="D54" s="19">
        <v>0.03516203703703704</v>
      </c>
      <c r="E54" s="18">
        <v>3038.0</v>
      </c>
      <c r="F54" s="18" t="s">
        <v>37</v>
      </c>
      <c r="G54" s="18">
        <v>5.52</v>
      </c>
      <c r="H54" s="18">
        <v>100.0</v>
      </c>
      <c r="I54" s="19">
        <v>0.00636574074074074</v>
      </c>
      <c r="J54" s="18" t="s">
        <v>17</v>
      </c>
    </row>
    <row r="55" ht="15.75" customHeight="1">
      <c r="A55" s="16">
        <v>43332.0</v>
      </c>
      <c r="B55" s="17">
        <v>0.9055555555555556</v>
      </c>
      <c r="C55" s="18">
        <v>9270.0</v>
      </c>
      <c r="D55" s="19">
        <v>0.03836805555555556</v>
      </c>
      <c r="E55" s="18">
        <v>3315.0</v>
      </c>
      <c r="F55" s="18" t="s">
        <v>42</v>
      </c>
      <c r="G55" s="18">
        <v>5.76</v>
      </c>
      <c r="H55" s="18">
        <v>109.0</v>
      </c>
      <c r="I55" s="19">
        <v>0.006666666666666667</v>
      </c>
      <c r="J55" s="18" t="s">
        <v>23</v>
      </c>
    </row>
    <row r="56" ht="15.75" customHeight="1">
      <c r="A56" s="16">
        <v>43336.0</v>
      </c>
      <c r="B56" s="17">
        <v>0.8513888888888889</v>
      </c>
      <c r="C56" s="18">
        <v>6198.0</v>
      </c>
      <c r="D56" s="19">
        <v>0.024386574074074074</v>
      </c>
      <c r="E56" s="18">
        <v>2107.0</v>
      </c>
      <c r="F56" s="18" t="s">
        <v>43</v>
      </c>
      <c r="G56" s="18">
        <v>3.85</v>
      </c>
      <c r="H56" s="18">
        <v>69.0</v>
      </c>
      <c r="I56" s="19">
        <v>0.006331018518518519</v>
      </c>
      <c r="J56" s="18" t="s">
        <v>19</v>
      </c>
    </row>
    <row r="57" ht="15.75" customHeight="1">
      <c r="A57" s="16">
        <v>43337.0</v>
      </c>
      <c r="B57" s="17">
        <v>0.7888888888888889</v>
      </c>
      <c r="C57" s="18">
        <v>6061.0</v>
      </c>
      <c r="D57" s="19">
        <v>0.02533564814814815</v>
      </c>
      <c r="E57" s="18">
        <v>2189.0</v>
      </c>
      <c r="F57" s="18" t="s">
        <v>44</v>
      </c>
      <c r="G57" s="18">
        <v>3.77</v>
      </c>
      <c r="H57" s="18">
        <v>72.0</v>
      </c>
      <c r="I57" s="19">
        <v>0.006724537037037037</v>
      </c>
      <c r="J57" s="18" t="s">
        <v>19</v>
      </c>
    </row>
    <row r="58" ht="15.75" customHeight="1">
      <c r="A58" s="16">
        <v>43339.0</v>
      </c>
      <c r="B58" s="17">
        <v>0.8347222222222223</v>
      </c>
      <c r="C58" s="18">
        <v>6227.0</v>
      </c>
      <c r="D58" s="19">
        <v>0.024930555555555556</v>
      </c>
      <c r="E58" s="18">
        <v>2154.0</v>
      </c>
      <c r="F58" s="18" t="s">
        <v>44</v>
      </c>
      <c r="G58" s="18">
        <v>3.87</v>
      </c>
      <c r="H58" s="18">
        <v>71.0</v>
      </c>
      <c r="I58" s="19">
        <v>0.006446759259259259</v>
      </c>
      <c r="J58" s="18" t="s">
        <v>19</v>
      </c>
    </row>
    <row r="59" ht="15.75" customHeight="1">
      <c r="A59" s="16">
        <v>43343.0</v>
      </c>
      <c r="B59" s="17">
        <v>0.7784722222222222</v>
      </c>
      <c r="C59" s="18">
        <v>10041.0</v>
      </c>
      <c r="D59" s="19">
        <v>0.0403125</v>
      </c>
      <c r="E59" s="18">
        <v>3483.0</v>
      </c>
      <c r="F59" s="18" t="s">
        <v>44</v>
      </c>
      <c r="G59" s="18">
        <v>6.24</v>
      </c>
      <c r="H59" s="18">
        <v>114.0</v>
      </c>
      <c r="I59" s="19">
        <v>0.006458333333333333</v>
      </c>
      <c r="J59" s="18" t="s">
        <v>19</v>
      </c>
    </row>
    <row r="60" ht="15.75" customHeight="1">
      <c r="A60" s="16">
        <v>43347.0</v>
      </c>
      <c r="B60" s="17">
        <v>0.2548611111111111</v>
      </c>
      <c r="C60" s="18">
        <v>6164.0</v>
      </c>
      <c r="D60" s="19">
        <v>0.024421296296296295</v>
      </c>
      <c r="E60" s="18">
        <v>2110.0</v>
      </c>
      <c r="F60" s="18" t="s">
        <v>37</v>
      </c>
      <c r="G60" s="18">
        <v>3.83</v>
      </c>
      <c r="H60" s="18">
        <v>69.0</v>
      </c>
      <c r="I60" s="19">
        <v>0.006377314814814815</v>
      </c>
      <c r="J60" s="18" t="s">
        <v>17</v>
      </c>
    </row>
    <row r="61" ht="15.75" customHeight="1">
      <c r="A61" s="16">
        <v>43350.0</v>
      </c>
      <c r="B61" s="17">
        <v>0.7930555555555555</v>
      </c>
      <c r="C61" s="18">
        <v>6596.0</v>
      </c>
      <c r="D61" s="19">
        <v>0.024421296296296295</v>
      </c>
      <c r="E61" s="18">
        <v>2110.0</v>
      </c>
      <c r="F61" s="18" t="s">
        <v>45</v>
      </c>
      <c r="G61" s="18">
        <v>4.1</v>
      </c>
      <c r="H61" s="18">
        <v>69.0</v>
      </c>
      <c r="I61" s="19">
        <v>0.005960648148148148</v>
      </c>
      <c r="J61" s="18" t="s">
        <v>19</v>
      </c>
    </row>
    <row r="62" ht="15.75" customHeight="1">
      <c r="A62" s="16">
        <v>43353.0</v>
      </c>
      <c r="B62" s="17">
        <v>0.7659722222222223</v>
      </c>
      <c r="C62" s="18">
        <v>7405.0</v>
      </c>
      <c r="D62" s="19">
        <v>0.027916666666666666</v>
      </c>
      <c r="E62" s="18">
        <v>2412.0</v>
      </c>
      <c r="F62" s="18" t="s">
        <v>46</v>
      </c>
      <c r="G62" s="18">
        <v>4.6</v>
      </c>
      <c r="H62" s="18">
        <v>79.0</v>
      </c>
      <c r="I62" s="19">
        <v>0.0060648148148148145</v>
      </c>
      <c r="J62" s="18" t="s">
        <v>19</v>
      </c>
    </row>
    <row r="63" ht="15.75" customHeight="1">
      <c r="A63" s="16">
        <v>43356.0</v>
      </c>
      <c r="B63" s="17">
        <v>0.8541666666666666</v>
      </c>
      <c r="C63" s="18">
        <v>7850.0</v>
      </c>
      <c r="D63" s="19">
        <v>0.03153935185185185</v>
      </c>
      <c r="E63" s="18">
        <v>2725.0</v>
      </c>
      <c r="F63" s="18" t="s">
        <v>47</v>
      </c>
      <c r="G63" s="18">
        <v>4.88</v>
      </c>
      <c r="H63" s="18">
        <v>89.0</v>
      </c>
      <c r="I63" s="19">
        <v>0.006469907407407408</v>
      </c>
      <c r="J63" s="18" t="s">
        <v>19</v>
      </c>
    </row>
    <row r="64" ht="15.75" customHeight="1">
      <c r="A64" s="16">
        <v>43358.0</v>
      </c>
      <c r="B64" s="17">
        <v>0.8618055555555556</v>
      </c>
      <c r="C64" s="18">
        <v>9201.0</v>
      </c>
      <c r="D64" s="19">
        <v>0.03518518518518519</v>
      </c>
      <c r="E64" s="18">
        <v>3040.0</v>
      </c>
      <c r="F64" s="18" t="s">
        <v>47</v>
      </c>
      <c r="G64" s="18">
        <v>5.72</v>
      </c>
      <c r="H64" s="18">
        <v>100.0</v>
      </c>
      <c r="I64" s="19">
        <v>0.0061574074074074074</v>
      </c>
      <c r="J64" s="18" t="s">
        <v>19</v>
      </c>
    </row>
    <row r="65" ht="15.75" customHeight="1">
      <c r="A65" s="16">
        <v>43362.0</v>
      </c>
      <c r="B65" s="17">
        <v>0.7597222222222222</v>
      </c>
      <c r="C65" s="18">
        <v>7485.0</v>
      </c>
      <c r="D65" s="19">
        <v>0.028715277777777777</v>
      </c>
      <c r="E65" s="18">
        <v>2481.0</v>
      </c>
      <c r="F65" s="18" t="s">
        <v>47</v>
      </c>
      <c r="G65" s="18">
        <v>4.65</v>
      </c>
      <c r="H65" s="18">
        <v>81.0</v>
      </c>
      <c r="I65" s="19">
        <v>0.006168981481481482</v>
      </c>
      <c r="J65" s="18" t="s">
        <v>19</v>
      </c>
    </row>
    <row r="66" ht="15.75" customHeight="1">
      <c r="A66" s="16">
        <v>43365.0</v>
      </c>
      <c r="B66" s="17">
        <v>0.7861111111111111</v>
      </c>
      <c r="C66" s="18">
        <v>9148.0</v>
      </c>
      <c r="D66" s="19">
        <v>0.03543981481481481</v>
      </c>
      <c r="E66" s="18">
        <v>3062.0</v>
      </c>
      <c r="F66" s="18" t="s">
        <v>47</v>
      </c>
      <c r="G66" s="18">
        <v>5.68</v>
      </c>
      <c r="H66" s="18">
        <v>100.0</v>
      </c>
      <c r="I66" s="19">
        <v>0.006238425925925926</v>
      </c>
      <c r="J66" s="18" t="s">
        <v>19</v>
      </c>
    </row>
    <row r="67" ht="15.75" customHeight="1">
      <c r="A67" s="16">
        <v>43373.0</v>
      </c>
      <c r="B67" s="17">
        <v>0.7673611111111112</v>
      </c>
      <c r="C67" s="18">
        <v>6869.0</v>
      </c>
      <c r="D67" s="19">
        <v>0.02802083333333333</v>
      </c>
      <c r="E67" s="18">
        <v>2421.0</v>
      </c>
      <c r="F67" s="18" t="s">
        <v>47</v>
      </c>
      <c r="G67" s="18">
        <v>4.27</v>
      </c>
      <c r="H67" s="18">
        <v>79.0</v>
      </c>
      <c r="I67" s="19">
        <v>0.0065625</v>
      </c>
      <c r="J67" s="18" t="s">
        <v>19</v>
      </c>
    </row>
    <row r="68" ht="15.75" customHeight="1">
      <c r="A68" s="16">
        <v>43378.0</v>
      </c>
      <c r="B68" s="17">
        <v>0.7652777777777777</v>
      </c>
      <c r="C68" s="18">
        <v>9207.0</v>
      </c>
      <c r="D68" s="19">
        <v>0.03478009259259259</v>
      </c>
      <c r="E68" s="18">
        <v>3005.0</v>
      </c>
      <c r="F68" s="18" t="s">
        <v>42</v>
      </c>
      <c r="G68" s="18">
        <v>5.72</v>
      </c>
      <c r="H68" s="18">
        <v>99.0</v>
      </c>
      <c r="I68" s="19">
        <v>0.006076388888888889</v>
      </c>
      <c r="J68" s="18" t="s">
        <v>19</v>
      </c>
    </row>
    <row r="69" ht="15.75" customHeight="1">
      <c r="A69" s="16">
        <v>43380.0</v>
      </c>
      <c r="B69" s="17">
        <v>0.7263888888888889</v>
      </c>
      <c r="C69" s="18">
        <v>10018.0</v>
      </c>
      <c r="D69" s="19">
        <v>0.038969907407407404</v>
      </c>
      <c r="E69" s="18">
        <v>3367.0</v>
      </c>
      <c r="F69" s="18" t="s">
        <v>42</v>
      </c>
      <c r="G69" s="18">
        <v>6.23</v>
      </c>
      <c r="H69" s="18">
        <v>110.0</v>
      </c>
      <c r="I69" s="19">
        <v>0.006261574074074074</v>
      </c>
      <c r="J69" s="18" t="s">
        <v>21</v>
      </c>
    </row>
    <row r="70" ht="15.75" customHeight="1">
      <c r="A70" s="16">
        <v>43383.0</v>
      </c>
      <c r="B70" s="17">
        <v>0.8472222222222222</v>
      </c>
      <c r="C70" s="18">
        <v>7040.0</v>
      </c>
      <c r="D70" s="19">
        <v>0.027881944444444445</v>
      </c>
      <c r="E70" s="18">
        <v>2409.0</v>
      </c>
      <c r="F70" s="18" t="s">
        <v>42</v>
      </c>
      <c r="G70" s="18">
        <v>4.37</v>
      </c>
      <c r="H70" s="18">
        <v>79.0</v>
      </c>
      <c r="I70" s="19">
        <v>0.006377314814814815</v>
      </c>
      <c r="J70" s="18" t="s">
        <v>19</v>
      </c>
    </row>
    <row r="71" ht="15.75" customHeight="1">
      <c r="A71" s="16">
        <v>43386.0</v>
      </c>
      <c r="B71" s="17">
        <v>0.7576388888888889</v>
      </c>
      <c r="C71" s="18">
        <v>7900.0</v>
      </c>
      <c r="D71" s="19">
        <v>0.03127314814814815</v>
      </c>
      <c r="E71" s="18">
        <v>2702.0</v>
      </c>
      <c r="F71" s="18" t="s">
        <v>20</v>
      </c>
      <c r="G71" s="18">
        <v>4.91</v>
      </c>
      <c r="H71" s="18">
        <v>89.0</v>
      </c>
      <c r="I71" s="19">
        <v>0.00636574074074074</v>
      </c>
      <c r="J71" s="18" t="s">
        <v>19</v>
      </c>
    </row>
    <row r="72" ht="15.75" customHeight="1">
      <c r="A72" s="16">
        <v>43389.0</v>
      </c>
      <c r="B72" s="17">
        <v>0.7715277777777778</v>
      </c>
      <c r="C72" s="18">
        <v>9023.0</v>
      </c>
      <c r="D72" s="19">
        <v>0.03640046296296296</v>
      </c>
      <c r="E72" s="18">
        <v>3145.0</v>
      </c>
      <c r="F72" s="18" t="s">
        <v>20</v>
      </c>
      <c r="G72" s="18">
        <v>5.61</v>
      </c>
      <c r="H72" s="18">
        <v>103.0</v>
      </c>
      <c r="I72" s="19">
        <v>0.006493055555555556</v>
      </c>
      <c r="J72" s="18" t="s">
        <v>19</v>
      </c>
    </row>
    <row r="73" ht="15.75" customHeight="1">
      <c r="A73" s="16">
        <v>43391.0</v>
      </c>
      <c r="B73" s="17">
        <v>0.7333333333333333</v>
      </c>
      <c r="C73" s="18">
        <v>10013.0</v>
      </c>
      <c r="D73" s="19">
        <v>0.04106481481481482</v>
      </c>
      <c r="E73" s="18">
        <v>3548.0</v>
      </c>
      <c r="F73" s="18" t="s">
        <v>20</v>
      </c>
      <c r="G73" s="18">
        <v>6.22</v>
      </c>
      <c r="H73" s="18">
        <v>116.0</v>
      </c>
      <c r="I73" s="19">
        <v>0.006597222222222222</v>
      </c>
      <c r="J73" s="18" t="s">
        <v>21</v>
      </c>
    </row>
    <row r="74" ht="15.75" customHeight="1">
      <c r="A74" s="16">
        <v>43401.0</v>
      </c>
      <c r="B74" s="17">
        <v>0.7576388888888889</v>
      </c>
      <c r="C74" s="18">
        <v>7209.0</v>
      </c>
      <c r="D74" s="19">
        <v>0.028819444444444446</v>
      </c>
      <c r="E74" s="18">
        <v>2490.0</v>
      </c>
      <c r="F74" s="18" t="s">
        <v>48</v>
      </c>
      <c r="G74" s="18">
        <v>4.48</v>
      </c>
      <c r="H74" s="18">
        <v>82.0</v>
      </c>
      <c r="I74" s="19">
        <v>0.006435185185185185</v>
      </c>
      <c r="J74" s="18" t="s">
        <v>19</v>
      </c>
    </row>
    <row r="75" ht="15.75" customHeight="1">
      <c r="A75" s="16">
        <v>43403.0</v>
      </c>
      <c r="B75" s="17">
        <v>0.7097222222222223</v>
      </c>
      <c r="C75" s="18">
        <v>8168.0</v>
      </c>
      <c r="D75" s="19">
        <v>0.03361111111111111</v>
      </c>
      <c r="E75" s="18">
        <v>2904.0</v>
      </c>
      <c r="F75" s="18" t="s">
        <v>49</v>
      </c>
      <c r="G75" s="18">
        <v>5.08</v>
      </c>
      <c r="H75" s="18">
        <v>95.0</v>
      </c>
      <c r="I75" s="19">
        <v>0.00662037037037037</v>
      </c>
      <c r="J75" s="18" t="s">
        <v>21</v>
      </c>
    </row>
    <row r="76" ht="15.75" customHeight="1">
      <c r="A76" s="16">
        <v>43407.0</v>
      </c>
      <c r="B76" s="17">
        <v>0.7326388888888888</v>
      </c>
      <c r="C76" s="18">
        <v>8868.0</v>
      </c>
      <c r="D76" s="19">
        <v>0.03511574074074074</v>
      </c>
      <c r="E76" s="18">
        <v>3034.0</v>
      </c>
      <c r="F76" s="18" t="s">
        <v>50</v>
      </c>
      <c r="G76" s="18">
        <v>5.51</v>
      </c>
      <c r="H76" s="18">
        <v>100.0</v>
      </c>
      <c r="I76" s="19">
        <v>0.006377314814814815</v>
      </c>
      <c r="J76" s="18" t="s">
        <v>21</v>
      </c>
    </row>
    <row r="77" ht="15.75" customHeight="1">
      <c r="A77" s="16">
        <v>43411.0</v>
      </c>
      <c r="B77" s="17">
        <v>0.7694444444444445</v>
      </c>
      <c r="C77" s="18">
        <v>10052.0</v>
      </c>
      <c r="D77" s="19">
        <v>0.038842592592592595</v>
      </c>
      <c r="E77" s="18">
        <v>3356.0</v>
      </c>
      <c r="F77" s="18" t="s">
        <v>51</v>
      </c>
      <c r="G77" s="18">
        <v>6.25</v>
      </c>
      <c r="H77" s="18">
        <v>110.0</v>
      </c>
      <c r="I77" s="19">
        <v>0.006215277777777778</v>
      </c>
      <c r="J77" s="18" t="s">
        <v>19</v>
      </c>
    </row>
    <row r="78" ht="15.75" customHeight="1">
      <c r="A78" s="16">
        <v>43413.0</v>
      </c>
      <c r="B78" s="17">
        <v>0.6798611111111111</v>
      </c>
      <c r="C78" s="18">
        <v>10005.0</v>
      </c>
      <c r="D78" s="19">
        <v>0.03998842592592593</v>
      </c>
      <c r="E78" s="18">
        <v>3455.0</v>
      </c>
      <c r="F78" s="18" t="s">
        <v>51</v>
      </c>
      <c r="G78" s="18">
        <v>6.22</v>
      </c>
      <c r="H78" s="18">
        <v>113.0</v>
      </c>
      <c r="I78" s="19">
        <v>0.006435185185185185</v>
      </c>
      <c r="J78" s="18" t="s">
        <v>21</v>
      </c>
    </row>
    <row r="79" ht="15.75" customHeight="1">
      <c r="A79" s="16">
        <v>43417.0</v>
      </c>
      <c r="B79" s="17">
        <v>0.8777777777777778</v>
      </c>
      <c r="C79" s="18">
        <v>10134.0</v>
      </c>
      <c r="D79" s="19">
        <v>0.03693287037037037</v>
      </c>
      <c r="E79" s="18">
        <v>3191.0</v>
      </c>
      <c r="F79" s="18" t="s">
        <v>51</v>
      </c>
      <c r="G79" s="18">
        <v>6.3</v>
      </c>
      <c r="H79" s="18">
        <v>105.0</v>
      </c>
      <c r="I79" s="19">
        <v>0.005868055555555555</v>
      </c>
      <c r="J79" s="18" t="s">
        <v>23</v>
      </c>
    </row>
    <row r="80" ht="15.75" customHeight="1">
      <c r="A80" s="16">
        <v>43421.0</v>
      </c>
      <c r="B80" s="17">
        <v>0.7881944444444444</v>
      </c>
      <c r="C80" s="18">
        <v>6019.0</v>
      </c>
      <c r="D80" s="19">
        <v>0.028854166666666667</v>
      </c>
      <c r="E80" s="18">
        <v>2493.0</v>
      </c>
      <c r="F80" s="18" t="s">
        <v>51</v>
      </c>
      <c r="G80" s="18">
        <v>3.74</v>
      </c>
      <c r="H80" s="18">
        <v>82.0</v>
      </c>
      <c r="I80" s="19">
        <v>0.007719907407407407</v>
      </c>
      <c r="J80" s="18" t="s">
        <v>19</v>
      </c>
    </row>
    <row r="81" ht="15.75" customHeight="1">
      <c r="A81" s="16">
        <v>43429.0</v>
      </c>
      <c r="B81" s="17">
        <v>0.8145833333333333</v>
      </c>
      <c r="C81" s="18">
        <v>7021.0</v>
      </c>
      <c r="D81" s="19">
        <v>0.028449074074074075</v>
      </c>
      <c r="E81" s="18">
        <v>2458.0</v>
      </c>
      <c r="F81" s="18" t="s">
        <v>51</v>
      </c>
      <c r="G81" s="18">
        <v>4.36</v>
      </c>
      <c r="H81" s="18">
        <v>81.0</v>
      </c>
      <c r="I81" s="19">
        <v>0.006516203703703704</v>
      </c>
      <c r="J81" s="18" t="s">
        <v>19</v>
      </c>
    </row>
    <row r="82" ht="15.75" customHeight="1">
      <c r="A82" s="16">
        <v>43469.0</v>
      </c>
      <c r="B82" s="17">
        <v>0.4486111111111111</v>
      </c>
      <c r="C82" s="18">
        <v>7020.0</v>
      </c>
      <c r="D82" s="19">
        <v>0.028738425925925924</v>
      </c>
      <c r="E82" s="18">
        <v>2483.0</v>
      </c>
      <c r="F82" s="18" t="s">
        <v>52</v>
      </c>
      <c r="G82" s="18">
        <v>4.36</v>
      </c>
      <c r="H82" s="18">
        <v>81.0</v>
      </c>
      <c r="I82" s="19">
        <v>0.006585648148148148</v>
      </c>
      <c r="J82" s="18" t="s">
        <v>17</v>
      </c>
    </row>
    <row r="83" ht="15.75" customHeight="1">
      <c r="A83" s="16">
        <v>43569.0</v>
      </c>
      <c r="B83" s="17">
        <v>0.24583333333333332</v>
      </c>
      <c r="C83" s="18">
        <v>3343.0</v>
      </c>
      <c r="D83" s="19">
        <v>0.016909722222222222</v>
      </c>
      <c r="E83" s="18">
        <v>1461.0</v>
      </c>
      <c r="F83" s="18" t="s">
        <v>29</v>
      </c>
      <c r="G83" s="18">
        <v>2.08</v>
      </c>
      <c r="H83" s="18">
        <v>48.0</v>
      </c>
      <c r="I83" s="19">
        <v>0.008136574074074074</v>
      </c>
      <c r="J83" s="18" t="s">
        <v>17</v>
      </c>
    </row>
    <row r="84" ht="15.75" customHeight="1">
      <c r="A84" s="16">
        <v>43573.0</v>
      </c>
      <c r="B84" s="17">
        <v>0.2625</v>
      </c>
      <c r="C84" s="18">
        <v>4022.0</v>
      </c>
      <c r="D84" s="19">
        <v>0.01806712962962963</v>
      </c>
      <c r="E84" s="18">
        <v>1561.0</v>
      </c>
      <c r="F84" s="18" t="s">
        <v>29</v>
      </c>
      <c r="G84" s="18">
        <v>2.5</v>
      </c>
      <c r="H84" s="18">
        <v>51.0</v>
      </c>
      <c r="I84" s="19">
        <v>0.007233796296296296</v>
      </c>
      <c r="J84" s="18" t="s">
        <v>17</v>
      </c>
    </row>
    <row r="85" ht="15.75" customHeight="1">
      <c r="A85" s="16">
        <v>43694.0</v>
      </c>
      <c r="B85" s="17">
        <v>0.7979166666666667</v>
      </c>
      <c r="C85" s="18">
        <v>4498.0</v>
      </c>
      <c r="D85" s="19">
        <v>0.020833333333333332</v>
      </c>
      <c r="E85" s="18">
        <v>1800.0</v>
      </c>
      <c r="F85" s="18" t="s">
        <v>53</v>
      </c>
      <c r="G85" s="18">
        <v>2.79</v>
      </c>
      <c r="H85" s="18">
        <v>59.0</v>
      </c>
      <c r="I85" s="19">
        <v>0.007453703703703704</v>
      </c>
      <c r="J85" s="18" t="s">
        <v>19</v>
      </c>
    </row>
    <row r="86" ht="15.75" customHeight="1">
      <c r="A86" s="16">
        <v>43695.0</v>
      </c>
      <c r="B86" s="17">
        <v>0.8444444444444444</v>
      </c>
      <c r="C86" s="18">
        <v>4361.0</v>
      </c>
      <c r="D86" s="19">
        <v>0.021377314814814814</v>
      </c>
      <c r="E86" s="18">
        <v>1847.0</v>
      </c>
      <c r="F86" s="18" t="s">
        <v>53</v>
      </c>
      <c r="G86" s="18">
        <v>2.71</v>
      </c>
      <c r="H86" s="18">
        <v>61.0</v>
      </c>
      <c r="I86" s="19">
        <v>0.007893518518518518</v>
      </c>
      <c r="J86" s="18" t="s">
        <v>19</v>
      </c>
    </row>
    <row r="87" ht="15.75" customHeight="1">
      <c r="A87" s="16">
        <v>43723.0</v>
      </c>
      <c r="B87" s="17">
        <v>0.8048611111111111</v>
      </c>
      <c r="C87" s="18">
        <v>4800.0</v>
      </c>
      <c r="D87" s="19">
        <v>0.021111111111111112</v>
      </c>
      <c r="E87" s="18">
        <v>1824.0</v>
      </c>
      <c r="F87" s="18" t="s">
        <v>53</v>
      </c>
      <c r="G87" s="18">
        <v>2.98</v>
      </c>
      <c r="H87" s="18">
        <v>60.0</v>
      </c>
      <c r="I87" s="19">
        <v>0.007083333333333333</v>
      </c>
      <c r="J87" s="18" t="s">
        <v>19</v>
      </c>
    </row>
    <row r="88" ht="15.75" customHeight="1">
      <c r="A88" s="16">
        <v>43725.0</v>
      </c>
      <c r="B88" s="17">
        <v>0.5944444444444444</v>
      </c>
      <c r="C88" s="18">
        <v>5215.0</v>
      </c>
      <c r="D88" s="19">
        <v>0.02122685185185185</v>
      </c>
      <c r="E88" s="18">
        <v>1834.0</v>
      </c>
      <c r="F88" s="18" t="s">
        <v>53</v>
      </c>
      <c r="G88" s="18">
        <v>3.24</v>
      </c>
      <c r="H88" s="18">
        <v>60.0</v>
      </c>
      <c r="I88" s="19">
        <v>0.006550925925925926</v>
      </c>
      <c r="J88" s="18" t="s">
        <v>21</v>
      </c>
    </row>
    <row r="89" ht="15.75" customHeight="1">
      <c r="A89" s="16">
        <v>43731.0</v>
      </c>
      <c r="B89" s="17">
        <v>0.5895833333333333</v>
      </c>
      <c r="C89" s="18">
        <v>5177.0</v>
      </c>
      <c r="D89" s="19">
        <v>0.02150462962962963</v>
      </c>
      <c r="E89" s="18">
        <v>1858.0</v>
      </c>
      <c r="F89" s="18" t="s">
        <v>53</v>
      </c>
      <c r="G89" s="18">
        <v>3.22</v>
      </c>
      <c r="H89" s="18">
        <v>61.0</v>
      </c>
      <c r="I89" s="19">
        <v>0.006689814814814815</v>
      </c>
      <c r="J89" s="18" t="s">
        <v>21</v>
      </c>
    </row>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23302D48-01F3-468F-BC45-CD9A6FB6246A}" filter="1" showAutoFilter="1">
      <autoFilter ref="$A$1:$J$89"/>
      <extLst>
        <ext uri="GoogleSheetsCustomDataVersion1">
          <go:sheetsCustomData xmlns:go="http://customooxmlschemas.google.com/" filterViewId="1648238307"/>
        </ext>
      </extLst>
    </customSheetView>
  </customSheetViews>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row r="2" ht="15.75" customHeight="1"/>
    <row r="3" ht="15.75" customHeight="1">
      <c r="B3" s="20"/>
      <c r="C3" s="20"/>
      <c r="D3" s="20"/>
      <c r="E3" s="20"/>
      <c r="F3" s="20"/>
      <c r="G3" s="20"/>
      <c r="H3" s="20"/>
      <c r="I3" s="20"/>
      <c r="J3" s="20"/>
    </row>
    <row r="4" ht="15.75" customHeight="1">
      <c r="B4" s="20"/>
      <c r="C4" s="21" t="s">
        <v>54</v>
      </c>
      <c r="D4" s="21" t="s">
        <v>55</v>
      </c>
      <c r="E4" s="21" t="s">
        <v>56</v>
      </c>
      <c r="F4" s="20"/>
      <c r="G4" s="20"/>
      <c r="H4" s="20"/>
      <c r="I4" s="20"/>
      <c r="J4" s="20"/>
    </row>
    <row r="5" ht="15.75" customHeight="1">
      <c r="B5" s="20"/>
      <c r="C5" s="22">
        <v>10.0</v>
      </c>
      <c r="D5" s="22">
        <v>20.0</v>
      </c>
      <c r="E5" s="22">
        <f t="shared" ref="E5:E8" si="1">C5*D5</f>
        <v>200</v>
      </c>
      <c r="F5" s="20"/>
      <c r="G5" s="20"/>
      <c r="H5" s="20"/>
      <c r="I5" s="20"/>
      <c r="J5" s="20"/>
    </row>
    <row r="6" ht="15.75" customHeight="1">
      <c r="B6" s="20"/>
      <c r="C6" s="22">
        <v>15.0</v>
      </c>
      <c r="D6" s="22">
        <v>30.0</v>
      </c>
      <c r="E6" s="22">
        <f t="shared" si="1"/>
        <v>450</v>
      </c>
      <c r="F6" s="20"/>
      <c r="G6" s="20"/>
      <c r="H6" s="20"/>
      <c r="I6" s="20"/>
      <c r="J6" s="20"/>
    </row>
    <row r="7" ht="15.75" customHeight="1">
      <c r="B7" s="20"/>
      <c r="C7" s="22">
        <v>2.0</v>
      </c>
      <c r="D7" s="22">
        <v>50.0</v>
      </c>
      <c r="E7" s="22">
        <f t="shared" si="1"/>
        <v>100</v>
      </c>
      <c r="F7" s="20"/>
      <c r="G7" s="20"/>
      <c r="H7" s="20"/>
      <c r="I7" s="20"/>
      <c r="J7" s="20"/>
    </row>
    <row r="8" ht="15.75" customHeight="1">
      <c r="B8" s="20"/>
      <c r="C8" s="22">
        <v>4.0</v>
      </c>
      <c r="D8" s="22">
        <v>100.0</v>
      </c>
      <c r="E8" s="22">
        <f t="shared" si="1"/>
        <v>400</v>
      </c>
      <c r="F8" s="20"/>
      <c r="G8" s="20"/>
      <c r="H8" s="20"/>
      <c r="I8" s="20"/>
      <c r="J8" s="20"/>
    </row>
    <row r="9" ht="15.75" customHeight="1">
      <c r="B9" s="20"/>
      <c r="C9" s="20"/>
      <c r="D9" s="20"/>
      <c r="E9" s="23">
        <f>SUm(E5:E8)</f>
        <v>1150</v>
      </c>
      <c r="F9" s="20"/>
      <c r="G9" s="20"/>
      <c r="H9" s="20"/>
      <c r="I9" s="20"/>
      <c r="J9" s="20"/>
    </row>
    <row r="10" ht="15.75" customHeight="1">
      <c r="B10" s="20"/>
      <c r="C10" s="20"/>
      <c r="D10" s="20"/>
      <c r="E10" s="24" t="str">
        <f>SUM(C5:C8*D5:D8)</f>
        <v>#VALUE!</v>
      </c>
      <c r="F10" s="20"/>
      <c r="G10" s="25" t="s">
        <v>57</v>
      </c>
      <c r="H10" s="20"/>
      <c r="I10" s="20"/>
      <c r="J10" s="20"/>
    </row>
    <row r="11" ht="15.75" customHeight="1">
      <c r="B11" s="20"/>
      <c r="C11" s="20"/>
      <c r="D11" s="20"/>
      <c r="E11" s="26">
        <f t="array" ref="E11">SUM(C5:C8 * D5:D8)</f>
        <v>1150</v>
      </c>
      <c r="F11" s="20"/>
      <c r="G11" s="27" t="s">
        <v>58</v>
      </c>
      <c r="H11" s="20"/>
      <c r="I11" s="20"/>
      <c r="J11" s="20"/>
    </row>
    <row r="12" ht="15.75" customHeight="1">
      <c r="B12" s="20"/>
      <c r="C12" s="20"/>
      <c r="D12" s="20"/>
      <c r="E12" s="20"/>
      <c r="F12" s="20"/>
      <c r="G12" s="20"/>
      <c r="H12" s="20"/>
      <c r="I12" s="20"/>
      <c r="J12" s="20"/>
    </row>
    <row r="13" ht="15.75" customHeight="1">
      <c r="B13" s="20"/>
      <c r="C13" s="20"/>
      <c r="D13" s="20"/>
      <c r="E13" s="28">
        <f>SUMPRODUCT(C5:C8,D5:D8)</f>
        <v>1150</v>
      </c>
      <c r="F13" s="20"/>
      <c r="G13" s="29" t="s">
        <v>59</v>
      </c>
      <c r="H13" s="20"/>
      <c r="I13" s="20"/>
      <c r="J13" s="20"/>
    </row>
    <row r="14" ht="15.75" customHeight="1">
      <c r="B14" s="20"/>
      <c r="C14" s="20"/>
      <c r="D14" s="20"/>
      <c r="E14" s="20"/>
      <c r="F14" s="20"/>
      <c r="G14" s="20"/>
      <c r="H14" s="20"/>
      <c r="I14" s="20"/>
      <c r="J14" s="20"/>
    </row>
    <row r="15" ht="15.75" customHeight="1"/>
    <row r="16" ht="15.75" customHeight="1"/>
    <row r="17" ht="15.75" customHeight="1"/>
    <row r="18" ht="15.75" customHeight="1"/>
    <row r="19" ht="15.75" customHeight="1"/>
    <row r="20" ht="15.75" customHeight="1">
      <c r="D20" s="21" t="s">
        <v>54</v>
      </c>
      <c r="E20" s="21" t="s">
        <v>55</v>
      </c>
    </row>
    <row r="21" ht="15.75" customHeight="1">
      <c r="D21" s="22">
        <v>10.0</v>
      </c>
      <c r="E21" s="22">
        <v>20.0</v>
      </c>
    </row>
    <row r="22" ht="15.75" customHeight="1">
      <c r="D22" s="22">
        <v>15.0</v>
      </c>
      <c r="E22" s="22">
        <v>30.0</v>
      </c>
      <c r="G22" s="18" t="str">
        <f t="array" ref="G22">SUM(D21:D25*E21:E24)</f>
        <v>#N/A</v>
      </c>
    </row>
    <row r="23" ht="15.75" customHeight="1">
      <c r="D23" s="22">
        <v>2.0</v>
      </c>
      <c r="E23" s="22">
        <v>50.0</v>
      </c>
    </row>
    <row r="24" ht="15.75" customHeight="1">
      <c r="D24" s="22">
        <v>4.0</v>
      </c>
      <c r="E24" s="22">
        <v>100.0</v>
      </c>
    </row>
    <row r="25" ht="15.75" customHeight="1">
      <c r="D25" s="18">
        <v>5.0</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6.75"/>
    <col customWidth="1" min="3" max="3" width="12.63"/>
    <col customWidth="1" min="4" max="4" width="16.75"/>
    <col customWidth="1" min="5" max="6" width="12.63"/>
  </cols>
  <sheetData>
    <row r="1" ht="15.75" customHeight="1">
      <c r="A1" s="15" t="s">
        <v>60</v>
      </c>
      <c r="B1" s="15"/>
      <c r="D1" s="15" t="s">
        <v>61</v>
      </c>
    </row>
    <row r="2" ht="15.75" customHeight="1">
      <c r="A2" s="30">
        <v>1000.0</v>
      </c>
      <c r="D2" s="18" t="str">
        <f t="array" ref="D2:D7">IF(A2:A7&gt;2000,"&gt;2000","&lt;=2000")</f>
        <v>&lt;=2000</v>
      </c>
      <c r="E2" s="31" t="s">
        <v>62</v>
      </c>
    </row>
    <row r="3" ht="15.75" customHeight="1">
      <c r="A3" s="30">
        <v>1250.0</v>
      </c>
      <c r="D3" s="18" t="s">
        <v>63</v>
      </c>
    </row>
    <row r="4" ht="15.75" customHeight="1">
      <c r="A4" s="30">
        <v>1340.0</v>
      </c>
      <c r="D4" s="18" t="s">
        <v>63</v>
      </c>
    </row>
    <row r="5" ht="15.75" customHeight="1">
      <c r="A5" s="30">
        <v>2340.0</v>
      </c>
      <c r="D5" s="18" t="s">
        <v>64</v>
      </c>
    </row>
    <row r="6" ht="15.75" customHeight="1">
      <c r="A6" s="30">
        <v>2100.0</v>
      </c>
      <c r="D6" s="18" t="s">
        <v>64</v>
      </c>
    </row>
    <row r="7" ht="15.75" customHeight="1">
      <c r="A7" s="30">
        <v>1450.0</v>
      </c>
      <c r="D7" s="18" t="s">
        <v>63</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9" max="9" width="14.13"/>
  </cols>
  <sheetData>
    <row r="1" ht="15.75" customHeight="1">
      <c r="A1" s="18" t="s">
        <v>65</v>
      </c>
      <c r="B1" s="18" t="s">
        <v>66</v>
      </c>
      <c r="C1" s="18" t="s">
        <v>67</v>
      </c>
    </row>
    <row r="2" ht="15.75" customHeight="1">
      <c r="A2" s="18">
        <v>1.0</v>
      </c>
      <c r="B2" s="18">
        <v>1.0</v>
      </c>
      <c r="C2" s="18">
        <v>100.0</v>
      </c>
    </row>
    <row r="3" ht="15.75" customHeight="1">
      <c r="A3" s="18">
        <v>2.0</v>
      </c>
      <c r="B3" s="18">
        <v>1.0</v>
      </c>
      <c r="C3" s="18">
        <v>120.0</v>
      </c>
      <c r="F3" s="18" t="s">
        <v>66</v>
      </c>
      <c r="G3" s="18" t="s">
        <v>68</v>
      </c>
    </row>
    <row r="4" ht="15.75" customHeight="1">
      <c r="A4" s="18">
        <v>3.0</v>
      </c>
      <c r="B4" s="18">
        <v>2.0</v>
      </c>
      <c r="C4" s="18">
        <v>130.0</v>
      </c>
      <c r="F4" s="18">
        <v>1.0</v>
      </c>
      <c r="G4" s="18">
        <f t="shared" ref="G4:G6" si="1">SUMIF($B$2:$B$10,F4,$C$2:$C$10)</f>
        <v>441</v>
      </c>
      <c r="I4" s="32" t="str">
        <f>"=SUMIF($B$2:$B$10,H4,$C$2:$C$10)"</f>
        <v>=SUMIF($B$2:$B$10,H4,$C$2:$C$10)</v>
      </c>
    </row>
    <row r="5" ht="15.75" customHeight="1">
      <c r="A5" s="18">
        <v>4.0</v>
      </c>
      <c r="B5" s="18">
        <v>3.0</v>
      </c>
      <c r="C5" s="18">
        <v>140.0</v>
      </c>
      <c r="F5" s="18">
        <v>2.0</v>
      </c>
      <c r="G5" s="18">
        <f t="shared" si="1"/>
        <v>270</v>
      </c>
    </row>
    <row r="6" ht="15.75" customHeight="1">
      <c r="A6" s="18">
        <v>5.0</v>
      </c>
      <c r="B6" s="18">
        <v>1.0</v>
      </c>
      <c r="C6" s="18">
        <v>110.0</v>
      </c>
      <c r="F6" s="18">
        <v>3.0</v>
      </c>
      <c r="G6" s="18">
        <f t="shared" si="1"/>
        <v>420</v>
      </c>
    </row>
    <row r="7" ht="15.75" customHeight="1">
      <c r="A7" s="18">
        <v>6.0</v>
      </c>
      <c r="B7" s="18">
        <v>3.0</v>
      </c>
      <c r="C7" s="18">
        <v>130.0</v>
      </c>
    </row>
    <row r="8" ht="15.75" customHeight="1">
      <c r="A8" s="18">
        <v>7.0</v>
      </c>
      <c r="B8" s="18">
        <v>2.0</v>
      </c>
      <c r="C8" s="18">
        <v>140.0</v>
      </c>
    </row>
    <row r="9" ht="15.75" customHeight="1">
      <c r="A9" s="18">
        <v>8.0</v>
      </c>
      <c r="B9" s="18">
        <v>3.0</v>
      </c>
      <c r="C9" s="18">
        <v>150.0</v>
      </c>
    </row>
    <row r="10" ht="15.75" customHeight="1">
      <c r="A10" s="18">
        <v>9.0</v>
      </c>
      <c r="B10" s="18">
        <v>1.0</v>
      </c>
      <c r="C10" s="18">
        <v>111.0</v>
      </c>
    </row>
    <row r="11" ht="15.75" customHeight="1"/>
    <row r="12" ht="15.75" customHeight="1"/>
    <row r="13" ht="15.75" customHeight="1"/>
    <row r="14" ht="15.75" customHeight="1">
      <c r="F14" s="18" t="s">
        <v>66</v>
      </c>
      <c r="G14" s="18" t="s">
        <v>68</v>
      </c>
    </row>
    <row r="15" ht="15.75" customHeight="1">
      <c r="F15" s="18">
        <v>1.0</v>
      </c>
      <c r="G15" s="18">
        <f t="array" ref="G15:G17">SUMIF(B2:B10,F15:F17,C2:C10)</f>
        <v>441</v>
      </c>
      <c r="I15" s="32" t="str">
        <f>"=ARRAYFORMULA(SUMIF(B2:B10,H15:H17,C2:C10))"</f>
        <v>=ARRAYFORMULA(SUMIF(B2:B10,H15:H17,C2:C10))</v>
      </c>
    </row>
    <row r="16" ht="15.75" customHeight="1">
      <c r="F16" s="18">
        <v>2.0</v>
      </c>
      <c r="G16" s="18">
        <v>270.0</v>
      </c>
    </row>
    <row r="17" ht="15.75" customHeight="1">
      <c r="F17" s="18">
        <v>3.0</v>
      </c>
      <c r="G17" s="18">
        <v>420.0</v>
      </c>
    </row>
    <row r="18" ht="15.75" customHeight="1"/>
    <row r="19" ht="15.75" customHeight="1"/>
    <row r="20" ht="15.75" customHeight="1"/>
    <row r="21" ht="15.75" customHeight="1">
      <c r="F21" s="18" t="s">
        <v>66</v>
      </c>
      <c r="G21" s="18" t="s">
        <v>69</v>
      </c>
      <c r="I21" s="33" t="s">
        <v>70</v>
      </c>
    </row>
    <row r="22" ht="15.75" customHeight="1">
      <c r="F22" s="18">
        <v>1.0</v>
      </c>
      <c r="G22" s="18">
        <f t="array" ref="G22:G24">COUNTIF(B2:B19,F22:F24)</f>
        <v>4</v>
      </c>
    </row>
    <row r="23" ht="15.75" customHeight="1">
      <c r="F23" s="18">
        <v>2.0</v>
      </c>
      <c r="G23" s="18">
        <v>2.0</v>
      </c>
    </row>
    <row r="24" ht="15.75" customHeight="1">
      <c r="F24" s="18">
        <v>3.0</v>
      </c>
      <c r="G24" s="18">
        <v>3.0</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2.63"/>
    <col customWidth="1" min="4" max="4" width="48.25"/>
    <col customWidth="1" min="5" max="6" width="12.63"/>
  </cols>
  <sheetData>
    <row r="1" ht="15.75" customHeight="1">
      <c r="A1" s="15" t="s">
        <v>71</v>
      </c>
      <c r="B1" s="15" t="s">
        <v>72</v>
      </c>
      <c r="C1" s="15" t="s">
        <v>73</v>
      </c>
    </row>
    <row r="2" ht="15.75" customHeight="1">
      <c r="A2" s="18" t="s">
        <v>74</v>
      </c>
      <c r="B2" s="18" t="s">
        <v>75</v>
      </c>
      <c r="C2" s="18" t="str">
        <f t="shared" ref="C2:C4" si="1">A2&amp;" "&amp;B2</f>
        <v>abc aer</v>
      </c>
      <c r="D2" s="34" t="s">
        <v>76</v>
      </c>
    </row>
    <row r="3" ht="15.75" customHeight="1">
      <c r="A3" s="18" t="s">
        <v>77</v>
      </c>
      <c r="B3" s="18" t="s">
        <v>78</v>
      </c>
      <c r="C3" s="18" t="str">
        <f t="shared" si="1"/>
        <v>xyz dfr</v>
      </c>
    </row>
    <row r="4" ht="15.75" customHeight="1">
      <c r="A4" s="18" t="s">
        <v>79</v>
      </c>
      <c r="B4" s="18" t="s">
        <v>80</v>
      </c>
      <c r="C4" s="18" t="str">
        <f t="shared" si="1"/>
        <v>mno acd </v>
      </c>
    </row>
    <row r="5" ht="15.75" customHeight="1"/>
    <row r="6" ht="15.75" customHeight="1"/>
    <row r="7" ht="15.75" customHeight="1"/>
    <row r="8" ht="15.75" customHeight="1">
      <c r="C8" s="15" t="s">
        <v>73</v>
      </c>
    </row>
    <row r="9" ht="15.75" customHeight="1">
      <c r="C9" s="18" t="str">
        <f t="array" ref="C9:C11">A2:A4 &amp; " " &amp; B2:B4</f>
        <v>abc aer</v>
      </c>
      <c r="D9" s="35" t="s">
        <v>81</v>
      </c>
    </row>
    <row r="10" ht="15.75" customHeight="1">
      <c r="C10" s="18" t="s">
        <v>82</v>
      </c>
    </row>
    <row r="11" ht="15.75" customHeight="1">
      <c r="C11" s="18" t="s">
        <v>83</v>
      </c>
    </row>
    <row r="12" ht="15.75" customHeight="1"/>
    <row r="13" ht="15.75" customHeight="1"/>
    <row r="14" ht="15.75" customHeight="1">
      <c r="C14" s="10" t="str">
        <f t="array" ref="C14">concatenate(A2:B2,A4:B4)</f>
        <v>abcaermnoacd </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