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dEnroll" sheetId="1" r:id="rId4"/>
    <sheet state="visible" name="Physics1.DailyAttendance" sheetId="2" r:id="rId5"/>
    <sheet state="visible" name="Maths1.DailyAttendance" sheetId="3" r:id="rId6"/>
    <sheet state="visible" name="StudentAssignments" sheetId="4" r:id="rId7"/>
    <sheet state="visible" name="StudentTracker" sheetId="5" r:id="rId8"/>
    <sheet state="visible" name="Certificate Score" sheetId="6" r:id="rId9"/>
  </sheets>
  <definedNames>
    <definedName hidden="1" localSheetId="3" name="_xlnm._FilterDatabase">StudentAssignments!$A$1:$G$27</definedName>
    <definedName hidden="1" localSheetId="4" name="_xlnm._FilterDatabase">StudentTracker!$A$1:$S$27</definedName>
  </definedNames>
  <calcPr/>
</workbook>
</file>

<file path=xl/sharedStrings.xml><?xml version="1.0" encoding="utf-8"?>
<sst xmlns="http://schemas.openxmlformats.org/spreadsheetml/2006/main" count="490" uniqueCount="86">
  <si>
    <t>Name</t>
  </si>
  <si>
    <t>Surname</t>
  </si>
  <si>
    <t>email</t>
  </si>
  <si>
    <t>Class</t>
  </si>
  <si>
    <t>John</t>
  </si>
  <si>
    <t>Makaron</t>
  </si>
  <si>
    <t>Physics1</t>
  </si>
  <si>
    <t>Elvis</t>
  </si>
  <si>
    <t>Bond</t>
  </si>
  <si>
    <t>Maths1</t>
  </si>
  <si>
    <t>Mary</t>
  </si>
  <si>
    <t>Gas</t>
  </si>
  <si>
    <t>Olivia</t>
  </si>
  <si>
    <t>Matt</t>
  </si>
  <si>
    <t>Robert</t>
  </si>
  <si>
    <t>Hus</t>
  </si>
  <si>
    <t>Omar</t>
  </si>
  <si>
    <t>Kasim</t>
  </si>
  <si>
    <t>Diana</t>
  </si>
  <si>
    <t>Pinto</t>
  </si>
  <si>
    <t>Denis</t>
  </si>
  <si>
    <t>Rodman</t>
  </si>
  <si>
    <t>Kate</t>
  </si>
  <si>
    <t>Potter</t>
  </si>
  <si>
    <t>Manny</t>
  </si>
  <si>
    <t>Pac</t>
  </si>
  <si>
    <t>Katy</t>
  </si>
  <si>
    <t>Perri</t>
  </si>
  <si>
    <t>Antony</t>
  </si>
  <si>
    <t>Ward</t>
  </si>
  <si>
    <t>Billy</t>
  </si>
  <si>
    <t>Sane</t>
  </si>
  <si>
    <t>Ronald</t>
  </si>
  <si>
    <t>Connan</t>
  </si>
  <si>
    <t>Baderas</t>
  </si>
  <si>
    <t>Dennis</t>
  </si>
  <si>
    <t>Menace</t>
  </si>
  <si>
    <t>Pape</t>
  </si>
  <si>
    <t>Walid</t>
  </si>
  <si>
    <t>Matip</t>
  </si>
  <si>
    <t>Donna</t>
  </si>
  <si>
    <t>Corleone</t>
  </si>
  <si>
    <t>Dustin</t>
  </si>
  <si>
    <t>Boier</t>
  </si>
  <si>
    <t>Lana</t>
  </si>
  <si>
    <t>Andie</t>
  </si>
  <si>
    <t>Anna</t>
  </si>
  <si>
    <t>Tsakiris</t>
  </si>
  <si>
    <t>Neto</t>
  </si>
  <si>
    <t>Juninhio</t>
  </si>
  <si>
    <t>Andres</t>
  </si>
  <si>
    <t>Iniesti</t>
  </si>
  <si>
    <t>1d</t>
  </si>
  <si>
    <t>2d</t>
  </si>
  <si>
    <t>3d</t>
  </si>
  <si>
    <t>4d</t>
  </si>
  <si>
    <t>5d</t>
  </si>
  <si>
    <t>Week1 Attendance</t>
  </si>
  <si>
    <t>1st Projoct Score</t>
  </si>
  <si>
    <t>2nd Project Score</t>
  </si>
  <si>
    <t>Final Project Completed</t>
  </si>
  <si>
    <t>P</t>
  </si>
  <si>
    <t>A</t>
  </si>
  <si>
    <t>Yes</t>
  </si>
  <si>
    <t>No</t>
  </si>
  <si>
    <t>Attendance</t>
  </si>
  <si>
    <t>1st test score</t>
  </si>
  <si>
    <t>2nd test score</t>
  </si>
  <si>
    <t>Certificate Status</t>
  </si>
  <si>
    <t>Classes</t>
  </si>
  <si>
    <t>Certificate Score</t>
  </si>
  <si>
    <t>Final Assignment</t>
  </si>
  <si>
    <t>Status</t>
  </si>
  <si>
    <t xml:space="preserve">Certification Score </t>
  </si>
  <si>
    <t>Percentage</t>
  </si>
  <si>
    <t xml:space="preserve">Attendance </t>
  </si>
  <si>
    <t>Test1</t>
  </si>
  <si>
    <t>Test2</t>
  </si>
  <si>
    <t>Final assignment</t>
  </si>
  <si>
    <t xml:space="preserve">Overall </t>
  </si>
  <si>
    <t xml:space="preserve">Score to pass </t>
  </si>
  <si>
    <t>&gt;=70</t>
  </si>
  <si>
    <t>Score Good</t>
  </si>
  <si>
    <t>&gt;70&lt;85</t>
  </si>
  <si>
    <t>Score Excellent</t>
  </si>
  <si>
    <t>&gt;85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</si>
</sst>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20.0"/>
      <color theme="1"/>
      <name val="Aptos Narrow"/>
    </font>
    <font>
      <b/>
      <sz val="14.0"/>
      <color theme="1"/>
      <name val="Aptos Narrow"/>
    </font>
    <font>
      <b/>
      <sz val="11.0"/>
      <color theme="1"/>
      <name val="Arial"/>
    </font>
    <font/>
    <font>
      <sz val="11.0"/>
      <color theme="1"/>
      <name val="Aptos Narrow"/>
    </font>
    <font>
      <sz val="20.0"/>
      <color theme="6"/>
      <name val="Aptos Narrow"/>
    </font>
    <font>
      <sz val="14.0"/>
      <color theme="1"/>
      <name val="Aptos Narrow"/>
    </font>
    <font>
      <color theme="1"/>
      <name val="Arial"/>
    </font>
    <font>
      <sz val="12.0"/>
      <color theme="1"/>
      <name val="Aptos Narrow"/>
      <scheme val="minor"/>
    </font>
    <font>
      <sz val="14.0"/>
      <color theme="0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AE2D5"/>
        <bgColor rgb="FFFAE2D5"/>
      </patternFill>
    </fill>
    <fill>
      <patternFill patternType="solid">
        <fgColor rgb="FFA6C9EB"/>
        <bgColor rgb="FFA6C9EB"/>
      </patternFill>
    </fill>
    <fill>
      <patternFill patternType="solid">
        <fgColor rgb="FFD0D0D0"/>
        <bgColor rgb="FFD0D0D0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5C6AC"/>
        <bgColor rgb="FFF5C6AC"/>
      </patternFill>
    </fill>
    <fill>
      <patternFill patternType="solid">
        <fgColor rgb="FFDBE9F7"/>
        <bgColor rgb="FFDBE9F7"/>
      </patternFill>
    </fill>
    <fill>
      <patternFill patternType="solid">
        <fgColor rgb="FFFFFFB3"/>
        <bgColor rgb="FFFFFFB3"/>
      </patternFill>
    </fill>
    <fill>
      <patternFill patternType="solid">
        <fgColor rgb="FFF1CEEE"/>
        <bgColor rgb="FFF1CEEE"/>
      </patternFill>
    </fill>
    <fill>
      <patternFill patternType="solid">
        <fgColor theme="9"/>
        <bgColor theme="9"/>
      </patternFill>
    </fill>
  </fills>
  <borders count="20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 textRotation="255" vertical="top"/>
    </xf>
    <xf borderId="1" fillId="2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readingOrder="0"/>
    </xf>
    <xf borderId="3" fillId="0" fontId="6" numFmtId="0" xfId="0" applyBorder="1" applyFont="1"/>
    <xf borderId="0" fillId="0" fontId="7" numFmtId="10" xfId="0" applyFont="1" applyNumberFormat="1"/>
    <xf borderId="4" fillId="0" fontId="6" numFmtId="0" xfId="0" applyBorder="1" applyFont="1"/>
    <xf borderId="1" fillId="3" fontId="3" numFmtId="0" xfId="0" applyBorder="1" applyFont="1"/>
    <xf borderId="2" fillId="4" fontId="8" numFmtId="0" xfId="0" applyAlignment="1" applyBorder="1" applyFill="1" applyFont="1">
      <alignment horizontal="center" textRotation="255" vertical="center"/>
    </xf>
    <xf borderId="1" fillId="5" fontId="4" numFmtId="0" xfId="0" applyAlignment="1" applyBorder="1" applyFill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1" fillId="4" fontId="7" numFmtId="0" xfId="0" applyBorder="1" applyFont="1"/>
    <xf borderId="0" fillId="0" fontId="10" numFmtId="0" xfId="0" applyAlignment="1" applyFont="1">
      <alignment readingOrder="0"/>
    </xf>
    <xf borderId="0" fillId="6" fontId="11" numFmtId="0" xfId="0" applyFill="1" applyFont="1"/>
    <xf borderId="0" fillId="7" fontId="11" numFmtId="0" xfId="0" applyFill="1" applyFont="1"/>
    <xf borderId="0" fillId="0" fontId="1" numFmtId="0" xfId="0" applyFont="1"/>
    <xf borderId="5" fillId="8" fontId="12" numFmtId="0" xfId="0" applyAlignment="1" applyBorder="1" applyFill="1" applyFont="1">
      <alignment horizontal="center"/>
    </xf>
    <xf borderId="6" fillId="0" fontId="6" numFmtId="0" xfId="0" applyBorder="1" applyFont="1"/>
    <xf borderId="7" fillId="0" fontId="6" numFmtId="0" xfId="0" applyBorder="1" applyFont="1"/>
    <xf borderId="1" fillId="8" fontId="7" numFmtId="0" xfId="0" applyBorder="1" applyFont="1"/>
    <xf borderId="8" fillId="9" fontId="9" numFmtId="0" xfId="0" applyBorder="1" applyFill="1" applyFont="1"/>
    <xf borderId="9" fillId="9" fontId="9" numFmtId="0" xfId="0" applyBorder="1" applyFont="1"/>
    <xf borderId="10" fillId="9" fontId="9" numFmtId="0" xfId="0" applyAlignment="1" applyBorder="1" applyFont="1">
      <alignment horizontal="center"/>
    </xf>
    <xf borderId="11" fillId="9" fontId="9" numFmtId="0" xfId="0" applyBorder="1" applyFont="1"/>
    <xf borderId="12" fillId="9" fontId="9" numFmtId="0" xfId="0" applyBorder="1" applyFont="1"/>
    <xf borderId="13" fillId="9" fontId="9" numFmtId="0" xfId="0" applyAlignment="1" applyBorder="1" applyFont="1">
      <alignment horizontal="center"/>
    </xf>
    <xf borderId="14" fillId="9" fontId="9" numFmtId="0" xfId="0" applyBorder="1" applyFont="1"/>
    <xf borderId="15" fillId="9" fontId="9" numFmtId="0" xfId="0" applyBorder="1" applyFont="1"/>
    <xf borderId="16" fillId="9" fontId="9" numFmtId="0" xfId="0" applyAlignment="1" applyBorder="1" applyFont="1">
      <alignment horizontal="center"/>
    </xf>
    <xf borderId="17" fillId="9" fontId="4" numFmtId="0" xfId="0" applyBorder="1" applyFont="1"/>
    <xf borderId="18" fillId="9" fontId="9" numFmtId="0" xfId="0" applyBorder="1" applyFont="1"/>
    <xf borderId="19" fillId="9" fontId="9" numFmtId="0" xfId="0" applyAlignment="1" applyBorder="1" applyFont="1">
      <alignment horizontal="center"/>
    </xf>
    <xf borderId="1" fillId="10" fontId="7" numFmtId="0" xfId="0" applyBorder="1" applyFill="1" applyFont="1"/>
    <xf borderId="1" fillId="10" fontId="7" numFmtId="0" xfId="0" applyAlignment="1" applyBorder="1" applyFont="1">
      <alignment horizontal="center"/>
    </xf>
    <xf borderId="1" fillId="11" fontId="7" numFmtId="0" xfId="0" applyBorder="1" applyFill="1" applyFont="1"/>
    <xf borderId="1" fillId="11" fontId="7" numFmtId="0" xfId="0" applyAlignment="1" applyBorder="1" applyFont="1">
      <alignment horizontal="center"/>
    </xf>
    <xf borderId="1" fillId="12" fontId="7" numFmtId="0" xfId="0" applyBorder="1" applyFill="1" applyFont="1"/>
    <xf borderId="1" fillId="12" fontId="7" numFmtId="0" xfId="0" applyAlignment="1" applyBorder="1" applyFont="1">
      <alignment horizontal="center"/>
    </xf>
  </cellXfs>
  <cellStyles count="1">
    <cellStyle xfId="0" name="Normal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3" width="18.8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tr">
        <f t="shared" ref="C2:C27" si="1">A2&amp;B2&amp;"@gmail.com"</f>
        <v>JohnMakaron@gmail.com</v>
      </c>
      <c r="D2" s="2" t="s">
        <v>6</v>
      </c>
    </row>
    <row r="3">
      <c r="A3" s="2" t="s">
        <v>7</v>
      </c>
      <c r="B3" s="2" t="s">
        <v>8</v>
      </c>
      <c r="C3" s="2" t="str">
        <f t="shared" si="1"/>
        <v>ElvisBond@gmail.com</v>
      </c>
      <c r="D3" s="2" t="s">
        <v>9</v>
      </c>
    </row>
    <row r="4">
      <c r="A4" s="2" t="s">
        <v>10</v>
      </c>
      <c r="B4" s="2" t="s">
        <v>11</v>
      </c>
      <c r="C4" s="2" t="str">
        <f t="shared" si="1"/>
        <v>MaryGas@gmail.com</v>
      </c>
      <c r="D4" s="2" t="s">
        <v>9</v>
      </c>
    </row>
    <row r="5">
      <c r="A5" s="2" t="s">
        <v>12</v>
      </c>
      <c r="B5" s="2" t="s">
        <v>13</v>
      </c>
      <c r="C5" s="2" t="str">
        <f t="shared" si="1"/>
        <v>OliviaMatt@gmail.com</v>
      </c>
      <c r="D5" s="2" t="s">
        <v>6</v>
      </c>
    </row>
    <row r="6">
      <c r="A6" s="2" t="s">
        <v>14</v>
      </c>
      <c r="B6" s="2" t="s">
        <v>15</v>
      </c>
      <c r="C6" s="2" t="str">
        <f t="shared" si="1"/>
        <v>RobertHus@gmail.com</v>
      </c>
      <c r="D6" s="2" t="s">
        <v>9</v>
      </c>
    </row>
    <row r="7">
      <c r="A7" s="2" t="s">
        <v>16</v>
      </c>
      <c r="B7" s="2" t="s">
        <v>17</v>
      </c>
      <c r="C7" s="2" t="str">
        <f t="shared" si="1"/>
        <v>OmarKasim@gmail.com</v>
      </c>
      <c r="D7" s="2" t="s">
        <v>9</v>
      </c>
    </row>
    <row r="8">
      <c r="A8" s="2" t="s">
        <v>18</v>
      </c>
      <c r="B8" s="2" t="s">
        <v>19</v>
      </c>
      <c r="C8" s="2" t="str">
        <f t="shared" si="1"/>
        <v>DianaPinto@gmail.com</v>
      </c>
      <c r="D8" s="2" t="s">
        <v>6</v>
      </c>
    </row>
    <row r="9">
      <c r="A9" s="2" t="s">
        <v>20</v>
      </c>
      <c r="B9" s="2" t="s">
        <v>21</v>
      </c>
      <c r="C9" s="2" t="str">
        <f t="shared" si="1"/>
        <v>DenisRodman@gmail.com</v>
      </c>
      <c r="D9" s="2" t="s">
        <v>9</v>
      </c>
    </row>
    <row r="10">
      <c r="A10" s="2" t="s">
        <v>22</v>
      </c>
      <c r="B10" s="2" t="s">
        <v>23</v>
      </c>
      <c r="C10" s="2" t="str">
        <f t="shared" si="1"/>
        <v>KatePotter@gmail.com</v>
      </c>
      <c r="D10" s="2" t="s">
        <v>6</v>
      </c>
    </row>
    <row r="11">
      <c r="A11" s="2" t="s">
        <v>24</v>
      </c>
      <c r="B11" s="2" t="s">
        <v>25</v>
      </c>
      <c r="C11" s="2" t="str">
        <f t="shared" si="1"/>
        <v>MannyPac@gmail.com</v>
      </c>
      <c r="D11" s="2" t="s">
        <v>6</v>
      </c>
    </row>
    <row r="12">
      <c r="A12" s="2" t="s">
        <v>26</v>
      </c>
      <c r="B12" s="2" t="s">
        <v>27</v>
      </c>
      <c r="C12" s="2" t="str">
        <f t="shared" si="1"/>
        <v>KatyPerri@gmail.com</v>
      </c>
      <c r="D12" s="2" t="s">
        <v>6</v>
      </c>
    </row>
    <row r="13">
      <c r="A13" s="2" t="s">
        <v>28</v>
      </c>
      <c r="B13" s="2" t="s">
        <v>29</v>
      </c>
      <c r="C13" s="2" t="str">
        <f t="shared" si="1"/>
        <v>AntonyWard@gmail.com</v>
      </c>
      <c r="D13" s="2" t="s">
        <v>6</v>
      </c>
    </row>
    <row r="14">
      <c r="A14" s="2" t="s">
        <v>30</v>
      </c>
      <c r="B14" s="2" t="s">
        <v>31</v>
      </c>
      <c r="C14" s="2" t="str">
        <f t="shared" si="1"/>
        <v>BillySane@gmail.com</v>
      </c>
      <c r="D14" s="2" t="s">
        <v>6</v>
      </c>
    </row>
    <row r="15">
      <c r="A15" s="2" t="s">
        <v>32</v>
      </c>
      <c r="B15" s="2" t="s">
        <v>33</v>
      </c>
      <c r="C15" s="2" t="str">
        <f t="shared" si="1"/>
        <v>RonaldConnan@gmail.com</v>
      </c>
      <c r="D15" s="2" t="s">
        <v>6</v>
      </c>
    </row>
    <row r="16">
      <c r="A16" s="2" t="s">
        <v>4</v>
      </c>
      <c r="B16" s="2" t="s">
        <v>34</v>
      </c>
      <c r="C16" s="2" t="str">
        <f t="shared" si="1"/>
        <v>JohnBaderas@gmail.com</v>
      </c>
      <c r="D16" s="2" t="s">
        <v>9</v>
      </c>
    </row>
    <row r="17">
      <c r="A17" s="2" t="s">
        <v>32</v>
      </c>
      <c r="B17" s="2" t="s">
        <v>33</v>
      </c>
      <c r="C17" s="2" t="str">
        <f t="shared" si="1"/>
        <v>RonaldConnan@gmail.com</v>
      </c>
      <c r="D17" s="2" t="s">
        <v>9</v>
      </c>
    </row>
    <row r="18">
      <c r="A18" s="2" t="s">
        <v>35</v>
      </c>
      <c r="B18" s="2" t="s">
        <v>36</v>
      </c>
      <c r="C18" s="2" t="str">
        <f t="shared" si="1"/>
        <v>DennisMenace@gmail.com</v>
      </c>
      <c r="D18" s="2" t="s">
        <v>9</v>
      </c>
    </row>
    <row r="19">
      <c r="A19" s="2" t="s">
        <v>32</v>
      </c>
      <c r="B19" s="2" t="s">
        <v>37</v>
      </c>
      <c r="C19" s="2" t="str">
        <f t="shared" si="1"/>
        <v>RonaldPape@gmail.com</v>
      </c>
      <c r="D19" s="2" t="s">
        <v>9</v>
      </c>
    </row>
    <row r="20">
      <c r="A20" s="2" t="s">
        <v>38</v>
      </c>
      <c r="B20" s="2" t="s">
        <v>39</v>
      </c>
      <c r="C20" s="2" t="str">
        <f t="shared" si="1"/>
        <v>WalidMatip@gmail.com</v>
      </c>
      <c r="D20" s="2" t="s">
        <v>9</v>
      </c>
    </row>
    <row r="21" ht="15.75" customHeight="1">
      <c r="A21" s="2" t="s">
        <v>40</v>
      </c>
      <c r="B21" s="2" t="s">
        <v>41</v>
      </c>
      <c r="C21" s="2" t="str">
        <f t="shared" si="1"/>
        <v>DonnaCorleone@gmail.com</v>
      </c>
      <c r="D21" s="2" t="s">
        <v>9</v>
      </c>
    </row>
    <row r="22" ht="15.75" customHeight="1">
      <c r="A22" s="2" t="s">
        <v>10</v>
      </c>
      <c r="B22" s="2" t="s">
        <v>33</v>
      </c>
      <c r="C22" s="2" t="str">
        <f t="shared" si="1"/>
        <v>MaryConnan@gmail.com</v>
      </c>
      <c r="D22" s="2" t="s">
        <v>9</v>
      </c>
    </row>
    <row r="23" ht="15.75" customHeight="1">
      <c r="A23" s="2" t="s">
        <v>42</v>
      </c>
      <c r="B23" s="2" t="s">
        <v>43</v>
      </c>
      <c r="C23" s="2" t="str">
        <f t="shared" si="1"/>
        <v>DustinBoier@gmail.com</v>
      </c>
      <c r="D23" s="2" t="s">
        <v>9</v>
      </c>
    </row>
    <row r="24" ht="15.75" customHeight="1">
      <c r="A24" s="2" t="s">
        <v>44</v>
      </c>
      <c r="B24" s="2" t="s">
        <v>45</v>
      </c>
      <c r="C24" s="2" t="str">
        <f t="shared" si="1"/>
        <v>LanaAndie@gmail.com</v>
      </c>
      <c r="D24" s="2" t="s">
        <v>9</v>
      </c>
    </row>
    <row r="25" ht="15.75" customHeight="1">
      <c r="A25" s="2" t="s">
        <v>46</v>
      </c>
      <c r="B25" s="2" t="s">
        <v>47</v>
      </c>
      <c r="C25" s="2" t="str">
        <f t="shared" si="1"/>
        <v>AnnaTsakiris@gmail.com</v>
      </c>
      <c r="D25" s="2" t="s">
        <v>6</v>
      </c>
    </row>
    <row r="26" ht="15.75" customHeight="1">
      <c r="A26" s="2" t="s">
        <v>48</v>
      </c>
      <c r="B26" s="2" t="s">
        <v>49</v>
      </c>
      <c r="C26" s="2" t="str">
        <f t="shared" si="1"/>
        <v>NetoJuninhio@gmail.com</v>
      </c>
      <c r="D26" s="2" t="s">
        <v>6</v>
      </c>
    </row>
    <row r="27" ht="15.75" customHeight="1">
      <c r="A27" s="2" t="s">
        <v>50</v>
      </c>
      <c r="B27" s="2" t="s">
        <v>51</v>
      </c>
      <c r="C27" s="2" t="str">
        <f t="shared" si="1"/>
        <v>AndresIniesti@gmail.com</v>
      </c>
      <c r="D27" s="2" t="s">
        <v>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7.38"/>
    <col customWidth="1" min="3" max="3" width="11.0"/>
    <col customWidth="1" min="4" max="4" width="23.38"/>
    <col customWidth="1" min="5" max="5" width="8.38"/>
    <col customWidth="1" min="6" max="10" width="3.75"/>
    <col customWidth="1" min="11" max="11" width="13.75"/>
    <col customWidth="1" min="12" max="12" width="16.13"/>
    <col customWidth="1" min="13" max="13" width="16.63"/>
    <col customWidth="1" min="14" max="14" width="22.0"/>
    <col customWidth="1" min="15" max="26" width="7.63"/>
  </cols>
  <sheetData>
    <row r="1" ht="46.5" customHeight="1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5" t="s">
        <v>58</v>
      </c>
      <c r="M1" s="5" t="s">
        <v>59</v>
      </c>
      <c r="N1" s="5" t="s">
        <v>60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6"/>
      <c r="B2" s="2" t="str">
        <f>IFERROR(__xludf.DUMMYFUNCTION("FILTER(StudendEnroll!A2:D27,StudendEnroll!D2:D27=A1)"),"John")</f>
        <v>John</v>
      </c>
      <c r="C2" s="2" t="str">
        <f>IFERROR(__xludf.DUMMYFUNCTION("""COMPUTED_VALUE"""),"Makaron")</f>
        <v>Makaron</v>
      </c>
      <c r="D2" s="2" t="str">
        <f>IFERROR(__xludf.DUMMYFUNCTION("""COMPUTED_VALUE"""),"JohnMakaron@gmail.com")</f>
        <v>JohnMakaron@gmail.com</v>
      </c>
      <c r="E2" s="2" t="str">
        <f>IFERROR(__xludf.DUMMYFUNCTION("""COMPUTED_VALUE"""),"Physics1")</f>
        <v>Physics1</v>
      </c>
      <c r="F2" s="2" t="s">
        <v>61</v>
      </c>
      <c r="G2" s="2" t="s">
        <v>61</v>
      </c>
      <c r="H2" s="2" t="s">
        <v>61</v>
      </c>
      <c r="I2" s="2" t="s">
        <v>62</v>
      </c>
      <c r="J2" s="2" t="s">
        <v>61</v>
      </c>
      <c r="K2" s="7">
        <f t="shared" ref="K2:K12" si="1">COUNTIF(F2:J2,"P")/COUNTA(F2:J2)</f>
        <v>0.8</v>
      </c>
      <c r="L2" s="2">
        <v>85.0</v>
      </c>
      <c r="M2" s="2">
        <v>87.0</v>
      </c>
      <c r="N2" s="2" t="s">
        <v>63</v>
      </c>
    </row>
    <row r="3" ht="26.25" customHeight="1">
      <c r="A3" s="6"/>
      <c r="B3" s="2" t="str">
        <f>IFERROR(__xludf.DUMMYFUNCTION("""COMPUTED_VALUE"""),"Olivia")</f>
        <v>Olivia</v>
      </c>
      <c r="C3" s="2" t="str">
        <f>IFERROR(__xludf.DUMMYFUNCTION("""COMPUTED_VALUE"""),"Matt")</f>
        <v>Matt</v>
      </c>
      <c r="D3" s="2" t="str">
        <f>IFERROR(__xludf.DUMMYFUNCTION("""COMPUTED_VALUE"""),"OliviaMatt@gmail.com")</f>
        <v>OliviaMatt@gmail.com</v>
      </c>
      <c r="E3" s="2" t="str">
        <f>IFERROR(__xludf.DUMMYFUNCTION("""COMPUTED_VALUE"""),"Physics1")</f>
        <v>Physics1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62</v>
      </c>
      <c r="K3" s="7">
        <f t="shared" si="1"/>
        <v>0.8</v>
      </c>
      <c r="L3" s="2">
        <v>88.0</v>
      </c>
      <c r="M3" s="2">
        <v>75.0</v>
      </c>
      <c r="N3" s="2" t="s">
        <v>63</v>
      </c>
    </row>
    <row r="4" ht="26.25" customHeight="1">
      <c r="A4" s="6"/>
      <c r="B4" s="2" t="str">
        <f>IFERROR(__xludf.DUMMYFUNCTION("""COMPUTED_VALUE"""),"Diana")</f>
        <v>Diana</v>
      </c>
      <c r="C4" s="2" t="str">
        <f>IFERROR(__xludf.DUMMYFUNCTION("""COMPUTED_VALUE"""),"Pinto")</f>
        <v>Pinto</v>
      </c>
      <c r="D4" s="2" t="str">
        <f>IFERROR(__xludf.DUMMYFUNCTION("""COMPUTED_VALUE"""),"DianaPinto@gmail.com")</f>
        <v>DianaPinto@gmail.com</v>
      </c>
      <c r="E4" s="2" t="str">
        <f>IFERROR(__xludf.DUMMYFUNCTION("""COMPUTED_VALUE"""),"Physics1")</f>
        <v>Physics1</v>
      </c>
      <c r="F4" s="2" t="s">
        <v>62</v>
      </c>
      <c r="G4" s="2" t="s">
        <v>62</v>
      </c>
      <c r="H4" s="2" t="s">
        <v>61</v>
      </c>
      <c r="I4" s="2" t="s">
        <v>62</v>
      </c>
      <c r="J4" s="2" t="s">
        <v>61</v>
      </c>
      <c r="K4" s="7">
        <f t="shared" si="1"/>
        <v>0.4</v>
      </c>
      <c r="L4" s="2">
        <v>69.0</v>
      </c>
      <c r="M4" s="2">
        <v>33.0</v>
      </c>
      <c r="N4" s="2" t="s">
        <v>63</v>
      </c>
    </row>
    <row r="5" ht="26.25" customHeight="1">
      <c r="A5" s="6"/>
      <c r="B5" s="2" t="str">
        <f>IFERROR(__xludf.DUMMYFUNCTION("""COMPUTED_VALUE"""),"Kate")</f>
        <v>Kate</v>
      </c>
      <c r="C5" s="2" t="str">
        <f>IFERROR(__xludf.DUMMYFUNCTION("""COMPUTED_VALUE"""),"Potter")</f>
        <v>Potter</v>
      </c>
      <c r="D5" s="2" t="str">
        <f>IFERROR(__xludf.DUMMYFUNCTION("""COMPUTED_VALUE"""),"KatePotter@gmail.com")</f>
        <v>KatePotter@gmail.com</v>
      </c>
      <c r="E5" s="2" t="str">
        <f>IFERROR(__xludf.DUMMYFUNCTION("""COMPUTED_VALUE"""),"Physics1")</f>
        <v>Physics1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7">
        <f t="shared" si="1"/>
        <v>1</v>
      </c>
      <c r="L5" s="2">
        <v>100.0</v>
      </c>
      <c r="M5" s="2">
        <v>84.0</v>
      </c>
      <c r="N5" s="2" t="s">
        <v>63</v>
      </c>
    </row>
    <row r="6" ht="26.25" customHeight="1">
      <c r="A6" s="6"/>
      <c r="B6" s="2" t="str">
        <f>IFERROR(__xludf.DUMMYFUNCTION("""COMPUTED_VALUE"""),"Manny")</f>
        <v>Manny</v>
      </c>
      <c r="C6" s="2" t="str">
        <f>IFERROR(__xludf.DUMMYFUNCTION("""COMPUTED_VALUE"""),"Pac")</f>
        <v>Pac</v>
      </c>
      <c r="D6" s="2" t="str">
        <f>IFERROR(__xludf.DUMMYFUNCTION("""COMPUTED_VALUE"""),"MannyPac@gmail.com")</f>
        <v>MannyPac@gmail.com</v>
      </c>
      <c r="E6" s="2" t="str">
        <f>IFERROR(__xludf.DUMMYFUNCTION("""COMPUTED_VALUE"""),"Physics1")</f>
        <v>Physics1</v>
      </c>
      <c r="F6" s="2" t="s">
        <v>62</v>
      </c>
      <c r="G6" s="2" t="s">
        <v>61</v>
      </c>
      <c r="H6" s="2" t="s">
        <v>61</v>
      </c>
      <c r="I6" s="2" t="s">
        <v>61</v>
      </c>
      <c r="J6" s="2" t="s">
        <v>62</v>
      </c>
      <c r="K6" s="7">
        <f t="shared" si="1"/>
        <v>0.6</v>
      </c>
      <c r="L6" s="2">
        <v>70.0</v>
      </c>
      <c r="M6" s="2">
        <v>79.0</v>
      </c>
      <c r="N6" s="2" t="s">
        <v>63</v>
      </c>
    </row>
    <row r="7" ht="26.25" customHeight="1">
      <c r="A7" s="6"/>
      <c r="B7" s="2" t="str">
        <f>IFERROR(__xludf.DUMMYFUNCTION("""COMPUTED_VALUE"""),"Katy")</f>
        <v>Katy</v>
      </c>
      <c r="C7" s="2" t="str">
        <f>IFERROR(__xludf.DUMMYFUNCTION("""COMPUTED_VALUE"""),"Perri")</f>
        <v>Perri</v>
      </c>
      <c r="D7" s="2" t="str">
        <f>IFERROR(__xludf.DUMMYFUNCTION("""COMPUTED_VALUE"""),"KatyPerri@gmail.com")</f>
        <v>KatyPerri@gmail.com</v>
      </c>
      <c r="E7" s="2" t="str">
        <f>IFERROR(__xludf.DUMMYFUNCTION("""COMPUTED_VALUE"""),"Physics1")</f>
        <v>Physics1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7">
        <f t="shared" si="1"/>
        <v>1</v>
      </c>
      <c r="L7" s="2">
        <v>43.0</v>
      </c>
      <c r="M7" s="2">
        <v>100.0</v>
      </c>
      <c r="N7" s="2" t="s">
        <v>63</v>
      </c>
    </row>
    <row r="8" ht="26.25" customHeight="1">
      <c r="A8" s="6"/>
      <c r="B8" s="2" t="str">
        <f>IFERROR(__xludf.DUMMYFUNCTION("""COMPUTED_VALUE"""),"Antony")</f>
        <v>Antony</v>
      </c>
      <c r="C8" s="2" t="str">
        <f>IFERROR(__xludf.DUMMYFUNCTION("""COMPUTED_VALUE"""),"Ward")</f>
        <v>Ward</v>
      </c>
      <c r="D8" s="2" t="str">
        <f>IFERROR(__xludf.DUMMYFUNCTION("""COMPUTED_VALUE"""),"AntonyWard@gmail.com")</f>
        <v>AntonyWard@gmail.com</v>
      </c>
      <c r="E8" s="2" t="str">
        <f>IFERROR(__xludf.DUMMYFUNCTION("""COMPUTED_VALUE"""),"Physics1")</f>
        <v>Physics1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62</v>
      </c>
      <c r="K8" s="7">
        <f t="shared" si="1"/>
        <v>0.8</v>
      </c>
      <c r="L8" s="2">
        <v>82.0</v>
      </c>
      <c r="M8" s="2">
        <v>88.0</v>
      </c>
      <c r="N8" s="2" t="s">
        <v>63</v>
      </c>
    </row>
    <row r="9" ht="26.25" customHeight="1">
      <c r="A9" s="6"/>
      <c r="B9" s="2" t="str">
        <f>IFERROR(__xludf.DUMMYFUNCTION("""COMPUTED_VALUE"""),"Billy")</f>
        <v>Billy</v>
      </c>
      <c r="C9" s="2" t="str">
        <f>IFERROR(__xludf.DUMMYFUNCTION("""COMPUTED_VALUE"""),"Sane")</f>
        <v>Sane</v>
      </c>
      <c r="D9" s="2" t="str">
        <f>IFERROR(__xludf.DUMMYFUNCTION("""COMPUTED_VALUE"""),"BillySane@gmail.com")</f>
        <v>BillySane@gmail.com</v>
      </c>
      <c r="E9" s="2" t="str">
        <f>IFERROR(__xludf.DUMMYFUNCTION("""COMPUTED_VALUE"""),"Physics1")</f>
        <v>Physics1</v>
      </c>
      <c r="F9" s="2" t="s">
        <v>61</v>
      </c>
      <c r="G9" s="2" t="s">
        <v>62</v>
      </c>
      <c r="H9" s="2" t="s">
        <v>61</v>
      </c>
      <c r="I9" s="2" t="s">
        <v>62</v>
      </c>
      <c r="J9" s="2" t="s">
        <v>61</v>
      </c>
      <c r="K9" s="7">
        <f t="shared" si="1"/>
        <v>0.6</v>
      </c>
      <c r="L9" s="2">
        <v>75.0</v>
      </c>
      <c r="M9" s="2">
        <v>81.0</v>
      </c>
      <c r="N9" s="2" t="s">
        <v>63</v>
      </c>
    </row>
    <row r="10" ht="26.25" customHeight="1">
      <c r="A10" s="6"/>
      <c r="B10" s="2" t="str">
        <f>IFERROR(__xludf.DUMMYFUNCTION("""COMPUTED_VALUE"""),"Ronald")</f>
        <v>Ronald</v>
      </c>
      <c r="C10" s="2" t="str">
        <f>IFERROR(__xludf.DUMMYFUNCTION("""COMPUTED_VALUE"""),"Connan")</f>
        <v>Connan</v>
      </c>
      <c r="D10" s="2" t="str">
        <f>IFERROR(__xludf.DUMMYFUNCTION("""COMPUTED_VALUE"""),"RonaldConnan@gmail.com")</f>
        <v>RonaldConnan@gmail.com</v>
      </c>
      <c r="E10" s="2" t="str">
        <f>IFERROR(__xludf.DUMMYFUNCTION("""COMPUTED_VALUE"""),"Physics1")</f>
        <v>Physics1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7">
        <f t="shared" si="1"/>
        <v>0</v>
      </c>
      <c r="L10" s="2">
        <v>92.0</v>
      </c>
      <c r="M10" s="2">
        <v>79.0</v>
      </c>
      <c r="N10" s="2" t="s">
        <v>63</v>
      </c>
    </row>
    <row r="11" ht="26.25" customHeight="1">
      <c r="A11" s="6"/>
      <c r="B11" s="2" t="str">
        <f>IFERROR(__xludf.DUMMYFUNCTION("""COMPUTED_VALUE"""),"Anna")</f>
        <v>Anna</v>
      </c>
      <c r="C11" s="2" t="str">
        <f>IFERROR(__xludf.DUMMYFUNCTION("""COMPUTED_VALUE"""),"Tsakiris")</f>
        <v>Tsakiris</v>
      </c>
      <c r="D11" s="2" t="str">
        <f>IFERROR(__xludf.DUMMYFUNCTION("""COMPUTED_VALUE"""),"AnnaTsakiris@gmail.com")</f>
        <v>AnnaTsakiris@gmail.com</v>
      </c>
      <c r="E11" s="2" t="str">
        <f>IFERROR(__xludf.DUMMYFUNCTION("""COMPUTED_VALUE"""),"Physics1")</f>
        <v>Physics1</v>
      </c>
      <c r="F11" s="2" t="s">
        <v>61</v>
      </c>
      <c r="G11" s="2" t="s">
        <v>61</v>
      </c>
      <c r="H11" s="2" t="s">
        <v>62</v>
      </c>
      <c r="I11" s="2" t="s">
        <v>61</v>
      </c>
      <c r="J11" s="2" t="s">
        <v>61</v>
      </c>
      <c r="K11" s="7">
        <f t="shared" si="1"/>
        <v>0.8</v>
      </c>
      <c r="L11" s="2">
        <v>71.0</v>
      </c>
      <c r="M11" s="2">
        <v>79.0</v>
      </c>
      <c r="N11" s="2" t="s">
        <v>63</v>
      </c>
    </row>
    <row r="12" ht="26.25" customHeight="1">
      <c r="A12" s="6"/>
      <c r="B12" s="2" t="str">
        <f>IFERROR(__xludf.DUMMYFUNCTION("""COMPUTED_VALUE"""),"Neto")</f>
        <v>Neto</v>
      </c>
      <c r="C12" s="2" t="str">
        <f>IFERROR(__xludf.DUMMYFUNCTION("""COMPUTED_VALUE"""),"Juninhio")</f>
        <v>Juninhio</v>
      </c>
      <c r="D12" s="2" t="str">
        <f>IFERROR(__xludf.DUMMYFUNCTION("""COMPUTED_VALUE"""),"NetoJuninhio@gmail.com")</f>
        <v>NetoJuninhio@gmail.com</v>
      </c>
      <c r="E12" s="2" t="str">
        <f>IFERROR(__xludf.DUMMYFUNCTION("""COMPUTED_VALUE"""),"Physics1")</f>
        <v>Physics1</v>
      </c>
      <c r="F12" s="2" t="s">
        <v>61</v>
      </c>
      <c r="G12" s="2" t="s">
        <v>62</v>
      </c>
      <c r="H12" s="2" t="s">
        <v>62</v>
      </c>
      <c r="I12" s="2" t="s">
        <v>61</v>
      </c>
      <c r="J12" s="2" t="s">
        <v>61</v>
      </c>
      <c r="K12" s="7">
        <f t="shared" si="1"/>
        <v>0.6</v>
      </c>
      <c r="L12" s="2">
        <v>40.0</v>
      </c>
      <c r="M12" s="2">
        <v>66.0</v>
      </c>
      <c r="N12" s="2" t="s">
        <v>64</v>
      </c>
    </row>
    <row r="13" ht="26.25" customHeight="1">
      <c r="A13" s="6"/>
    </row>
    <row r="14" ht="26.25" customHeight="1">
      <c r="A14" s="6"/>
    </row>
    <row r="15" ht="26.25" customHeight="1">
      <c r="A15" s="6"/>
    </row>
    <row r="16" ht="26.25" customHeight="1">
      <c r="A16" s="6"/>
    </row>
    <row r="17" ht="26.25" customHeight="1">
      <c r="A17" s="6"/>
    </row>
    <row r="18" ht="26.25" customHeight="1">
      <c r="A18" s="6"/>
    </row>
    <row r="19" ht="26.25" customHeight="1">
      <c r="A19" s="6"/>
    </row>
    <row r="20" ht="26.25" customHeight="1">
      <c r="A20" s="6"/>
    </row>
    <row r="21" ht="26.25" customHeight="1">
      <c r="A21" s="6"/>
    </row>
    <row r="22" ht="26.25" customHeight="1">
      <c r="A22" s="6"/>
    </row>
    <row r="23" ht="26.25" customHeight="1">
      <c r="A23" s="6"/>
    </row>
    <row r="24" ht="26.25" customHeight="1">
      <c r="A24" s="6"/>
    </row>
    <row r="25" ht="26.25" customHeight="1">
      <c r="A25" s="6"/>
    </row>
    <row r="26" ht="26.25" customHeight="1">
      <c r="A26" s="6"/>
    </row>
    <row r="27" ht="26.25" customHeight="1">
      <c r="A27" s="6"/>
    </row>
    <row r="28" ht="26.25" customHeight="1">
      <c r="A28" s="6"/>
    </row>
    <row r="29" ht="26.25" customHeight="1">
      <c r="A29" s="8"/>
    </row>
    <row r="30" ht="26.25" customHeight="1">
      <c r="A30" s="9"/>
    </row>
    <row r="31" ht="26.25" customHeight="1">
      <c r="A31" s="9"/>
    </row>
    <row r="32" ht="26.25" customHeight="1">
      <c r="A32" s="9"/>
    </row>
    <row r="33" ht="26.25" customHeight="1">
      <c r="A33" s="9"/>
    </row>
    <row r="34" ht="26.25" customHeight="1">
      <c r="A34" s="9"/>
    </row>
    <row r="35" ht="26.25" customHeight="1">
      <c r="A35" s="9"/>
    </row>
    <row r="36" ht="26.25" customHeight="1">
      <c r="A36" s="9"/>
    </row>
    <row r="37" ht="26.25" customHeight="1">
      <c r="A37" s="9"/>
    </row>
    <row r="38" ht="26.25" customHeight="1">
      <c r="A38" s="9"/>
    </row>
    <row r="39" ht="26.25" customHeight="1">
      <c r="A39" s="9"/>
    </row>
    <row r="40" ht="26.25" customHeight="1">
      <c r="A40" s="9"/>
    </row>
    <row r="41" ht="26.25" customHeight="1">
      <c r="A41" s="9"/>
    </row>
    <row r="42" ht="26.25" customHeight="1">
      <c r="A42" s="9"/>
    </row>
    <row r="43" ht="26.25" customHeight="1">
      <c r="A43" s="9"/>
    </row>
    <row r="44" ht="26.25" customHeight="1">
      <c r="A44" s="9"/>
    </row>
    <row r="45" ht="26.25" customHeight="1">
      <c r="A45" s="9"/>
    </row>
    <row r="46" ht="26.25" customHeight="1">
      <c r="A46" s="9"/>
    </row>
    <row r="47" ht="26.25" customHeight="1">
      <c r="A47" s="9"/>
    </row>
    <row r="48" ht="26.25" customHeight="1">
      <c r="A48" s="9"/>
    </row>
    <row r="49" ht="26.25" customHeight="1">
      <c r="A49" s="9"/>
    </row>
    <row r="50" ht="26.25" customHeight="1">
      <c r="A50" s="9"/>
    </row>
    <row r="51" ht="26.25" customHeight="1">
      <c r="A51" s="9"/>
    </row>
    <row r="52" ht="26.25" customHeight="1">
      <c r="A52" s="9"/>
    </row>
    <row r="53" ht="26.25" customHeight="1">
      <c r="A53" s="9"/>
    </row>
    <row r="54" ht="26.25" customHeight="1">
      <c r="A54" s="9"/>
    </row>
    <row r="55" ht="26.25" customHeight="1">
      <c r="A55" s="9"/>
    </row>
    <row r="56" ht="26.25" customHeight="1">
      <c r="A56" s="9"/>
    </row>
    <row r="57" ht="26.25" customHeight="1">
      <c r="A57" s="9"/>
    </row>
    <row r="58" ht="26.25" customHeight="1">
      <c r="A58" s="9"/>
    </row>
    <row r="59" ht="26.25" customHeight="1">
      <c r="A59" s="9"/>
    </row>
    <row r="60" ht="26.25" customHeight="1">
      <c r="A60" s="9"/>
    </row>
    <row r="61" ht="26.25" customHeight="1">
      <c r="A61" s="9"/>
    </row>
    <row r="62" ht="26.25" customHeight="1">
      <c r="A62" s="9"/>
    </row>
    <row r="63" ht="26.25" customHeight="1">
      <c r="A63" s="9"/>
    </row>
    <row r="64" ht="26.25" customHeight="1">
      <c r="A64" s="9"/>
    </row>
    <row r="65" ht="26.25" customHeight="1">
      <c r="A65" s="9"/>
    </row>
    <row r="66" ht="26.25" customHeight="1">
      <c r="A66" s="9"/>
    </row>
    <row r="67" ht="26.25" customHeight="1">
      <c r="A67" s="9"/>
    </row>
    <row r="68" ht="26.25" customHeight="1">
      <c r="A68" s="9"/>
    </row>
    <row r="69" ht="26.25" customHeight="1">
      <c r="A69" s="9"/>
    </row>
    <row r="70" ht="26.25" customHeight="1">
      <c r="A70" s="9"/>
    </row>
    <row r="71" ht="26.25" customHeight="1">
      <c r="A71" s="9"/>
    </row>
    <row r="72" ht="26.25" customHeight="1">
      <c r="A72" s="9"/>
    </row>
    <row r="73" ht="26.25" customHeight="1">
      <c r="A73" s="9"/>
    </row>
    <row r="74" ht="26.25" customHeight="1">
      <c r="A74" s="9"/>
    </row>
    <row r="75" ht="26.25" customHeight="1">
      <c r="A75" s="9"/>
    </row>
    <row r="76" ht="26.25" customHeight="1">
      <c r="A76" s="9"/>
    </row>
    <row r="77" ht="26.25" customHeight="1">
      <c r="A77" s="9"/>
    </row>
    <row r="78" ht="26.25" customHeight="1">
      <c r="A78" s="9"/>
    </row>
    <row r="79" ht="26.25" customHeight="1">
      <c r="A79" s="9"/>
    </row>
    <row r="80" ht="26.25" customHeight="1">
      <c r="A80" s="9"/>
    </row>
    <row r="81" ht="26.25" customHeight="1">
      <c r="A81" s="9"/>
    </row>
    <row r="82" ht="26.25" customHeight="1">
      <c r="A82" s="9"/>
    </row>
    <row r="83" ht="26.25" customHeight="1">
      <c r="A83" s="9"/>
    </row>
    <row r="84" ht="26.25" customHeight="1">
      <c r="A84" s="9"/>
    </row>
    <row r="85" ht="26.25" customHeight="1">
      <c r="A85" s="9"/>
    </row>
    <row r="86" ht="26.25" customHeight="1">
      <c r="A86" s="9"/>
    </row>
    <row r="87" ht="26.25" customHeight="1">
      <c r="A87" s="9"/>
    </row>
    <row r="88" ht="26.25" customHeight="1">
      <c r="A88" s="9"/>
    </row>
    <row r="89" ht="26.25" customHeight="1">
      <c r="A89" s="9"/>
    </row>
    <row r="90" ht="26.25" customHeight="1">
      <c r="A90" s="9"/>
    </row>
    <row r="91" ht="26.25" customHeight="1">
      <c r="A91" s="9"/>
    </row>
    <row r="92" ht="26.25" customHeight="1">
      <c r="A92" s="9"/>
    </row>
    <row r="93" ht="26.25" customHeight="1">
      <c r="A93" s="9"/>
    </row>
    <row r="94" ht="26.25" customHeight="1">
      <c r="A94" s="9"/>
    </row>
    <row r="95" ht="26.25" customHeight="1">
      <c r="A95" s="9"/>
    </row>
    <row r="96" ht="26.25" customHeight="1">
      <c r="A96" s="9"/>
    </row>
    <row r="97" ht="26.25" customHeight="1">
      <c r="A97" s="9"/>
    </row>
    <row r="98" ht="26.25" customHeight="1">
      <c r="A98" s="9"/>
    </row>
    <row r="99" ht="26.25" customHeight="1">
      <c r="A99" s="9"/>
    </row>
    <row r="100" ht="26.25" customHeight="1">
      <c r="A100" s="9"/>
    </row>
    <row r="101" ht="26.25" customHeight="1">
      <c r="A101" s="9"/>
    </row>
    <row r="102" ht="26.25" customHeight="1">
      <c r="A102" s="9"/>
    </row>
    <row r="103" ht="26.25" customHeight="1">
      <c r="A103" s="9"/>
    </row>
    <row r="104" ht="26.25" customHeight="1">
      <c r="A104" s="9"/>
    </row>
    <row r="105" ht="26.25" customHeight="1">
      <c r="A105" s="9"/>
    </row>
    <row r="106" ht="26.25" customHeight="1">
      <c r="A106" s="9"/>
    </row>
    <row r="107" ht="26.25" customHeight="1">
      <c r="A107" s="9"/>
    </row>
    <row r="108" ht="26.25" customHeight="1">
      <c r="A108" s="9"/>
    </row>
    <row r="109" ht="26.25" customHeight="1">
      <c r="A109" s="9"/>
    </row>
    <row r="110" ht="26.25" customHeight="1">
      <c r="A110" s="9"/>
    </row>
    <row r="111" ht="26.25" customHeight="1">
      <c r="A111" s="9"/>
    </row>
    <row r="112" ht="26.25" customHeight="1">
      <c r="A112" s="9"/>
    </row>
    <row r="113" ht="26.25" customHeight="1">
      <c r="A113" s="9"/>
    </row>
    <row r="114" ht="26.25" customHeight="1">
      <c r="A114" s="9"/>
    </row>
    <row r="115" ht="26.25" customHeight="1">
      <c r="A115" s="9"/>
    </row>
    <row r="116" ht="26.25" customHeight="1">
      <c r="A116" s="9"/>
    </row>
    <row r="117" ht="26.25" customHeight="1">
      <c r="A117" s="9"/>
    </row>
    <row r="118" ht="26.25" customHeight="1">
      <c r="A118" s="9"/>
    </row>
    <row r="119" ht="26.25" customHeight="1">
      <c r="A119" s="9"/>
    </row>
    <row r="120" ht="26.25" customHeight="1">
      <c r="A120" s="9"/>
    </row>
    <row r="121" ht="26.25" customHeight="1">
      <c r="A121" s="9"/>
    </row>
    <row r="122" ht="26.25" customHeight="1">
      <c r="A122" s="9"/>
    </row>
    <row r="123" ht="26.25" customHeight="1">
      <c r="A123" s="9"/>
    </row>
    <row r="124" ht="26.25" customHeight="1">
      <c r="A124" s="9"/>
    </row>
    <row r="125" ht="26.25" customHeight="1">
      <c r="A125" s="9"/>
    </row>
    <row r="126" ht="26.25" customHeight="1">
      <c r="A126" s="9"/>
    </row>
    <row r="127" ht="26.25" customHeight="1">
      <c r="A127" s="9"/>
    </row>
    <row r="128" ht="26.25" customHeight="1">
      <c r="A128" s="9"/>
    </row>
    <row r="129" ht="26.25" customHeight="1">
      <c r="A129" s="9"/>
    </row>
    <row r="130" ht="26.25" customHeight="1">
      <c r="A130" s="9"/>
    </row>
    <row r="131" ht="26.25" customHeight="1">
      <c r="A131" s="9"/>
    </row>
    <row r="132" ht="26.25" customHeight="1">
      <c r="A132" s="9"/>
    </row>
    <row r="133" ht="26.25" customHeight="1">
      <c r="A133" s="9"/>
    </row>
    <row r="134" ht="26.25" customHeight="1">
      <c r="A134" s="9"/>
    </row>
    <row r="135" ht="26.25" customHeight="1">
      <c r="A135" s="9"/>
    </row>
    <row r="136" ht="26.25" customHeight="1">
      <c r="A136" s="9"/>
    </row>
    <row r="137" ht="26.25" customHeight="1">
      <c r="A137" s="9"/>
    </row>
    <row r="138" ht="26.25" customHeight="1">
      <c r="A138" s="9"/>
    </row>
    <row r="139" ht="26.25" customHeight="1">
      <c r="A139" s="9"/>
    </row>
    <row r="140" ht="26.25" customHeight="1">
      <c r="A140" s="9"/>
    </row>
    <row r="141" ht="26.25" customHeight="1">
      <c r="A141" s="9"/>
    </row>
    <row r="142" ht="26.25" customHeight="1">
      <c r="A142" s="9"/>
    </row>
    <row r="143" ht="26.25" customHeight="1">
      <c r="A143" s="9"/>
    </row>
    <row r="144" ht="26.25" customHeight="1">
      <c r="A144" s="9"/>
    </row>
    <row r="145" ht="26.25" customHeight="1">
      <c r="A145" s="9"/>
    </row>
    <row r="146" ht="26.25" customHeight="1">
      <c r="A146" s="9"/>
    </row>
    <row r="147" ht="26.25" customHeight="1">
      <c r="A147" s="9"/>
    </row>
    <row r="148" ht="26.25" customHeight="1">
      <c r="A148" s="9"/>
    </row>
    <row r="149" ht="26.25" customHeight="1">
      <c r="A149" s="9"/>
    </row>
    <row r="150" ht="26.25" customHeight="1">
      <c r="A150" s="9"/>
    </row>
    <row r="151" ht="26.25" customHeight="1">
      <c r="A151" s="9"/>
    </row>
    <row r="152" ht="26.25" customHeight="1">
      <c r="A152" s="9"/>
    </row>
    <row r="153" ht="26.25" customHeight="1">
      <c r="A153" s="9"/>
    </row>
    <row r="154" ht="26.25" customHeight="1">
      <c r="A154" s="9"/>
    </row>
    <row r="155" ht="26.25" customHeight="1">
      <c r="A155" s="9"/>
    </row>
    <row r="156" ht="26.25" customHeight="1">
      <c r="A156" s="9"/>
    </row>
    <row r="157" ht="26.25" customHeight="1">
      <c r="A157" s="9"/>
    </row>
    <row r="158" ht="26.25" customHeight="1">
      <c r="A158" s="9"/>
    </row>
    <row r="159" ht="26.25" customHeight="1">
      <c r="A159" s="9"/>
    </row>
    <row r="160" ht="26.25" customHeight="1">
      <c r="A160" s="9"/>
    </row>
    <row r="161" ht="26.25" customHeight="1">
      <c r="A161" s="9"/>
    </row>
    <row r="162" ht="26.25" customHeight="1">
      <c r="A162" s="9"/>
    </row>
    <row r="163" ht="26.25" customHeight="1">
      <c r="A163" s="9"/>
    </row>
    <row r="164" ht="26.25" customHeight="1">
      <c r="A164" s="9"/>
    </row>
    <row r="165" ht="26.25" customHeight="1">
      <c r="A165" s="9"/>
    </row>
    <row r="166" ht="26.25" customHeight="1">
      <c r="A166" s="9"/>
    </row>
    <row r="167" ht="26.25" customHeight="1">
      <c r="A167" s="9"/>
    </row>
    <row r="168" ht="26.25" customHeight="1">
      <c r="A168" s="9"/>
    </row>
    <row r="169" ht="26.25" customHeight="1">
      <c r="A169" s="9"/>
    </row>
    <row r="170" ht="26.25" customHeight="1">
      <c r="A170" s="9"/>
    </row>
    <row r="171" ht="26.25" customHeight="1">
      <c r="A171" s="9"/>
    </row>
    <row r="172" ht="26.25" customHeight="1">
      <c r="A172" s="9"/>
    </row>
    <row r="173" ht="26.25" customHeight="1">
      <c r="A173" s="9"/>
    </row>
    <row r="174" ht="26.25" customHeight="1">
      <c r="A174" s="9"/>
    </row>
    <row r="175" ht="26.25" customHeight="1">
      <c r="A175" s="9"/>
    </row>
    <row r="176" ht="26.25" customHeight="1">
      <c r="A176" s="9"/>
    </row>
    <row r="177" ht="26.25" customHeight="1">
      <c r="A177" s="9"/>
    </row>
    <row r="178" ht="26.25" customHeight="1">
      <c r="A178" s="9"/>
    </row>
    <row r="179" ht="26.25" customHeight="1">
      <c r="A179" s="9"/>
    </row>
    <row r="180" ht="26.25" customHeight="1">
      <c r="A180" s="9"/>
    </row>
    <row r="181" ht="26.25" customHeight="1">
      <c r="A181" s="9"/>
    </row>
    <row r="182" ht="26.25" customHeight="1">
      <c r="A182" s="9"/>
    </row>
    <row r="183" ht="26.25" customHeight="1">
      <c r="A183" s="9"/>
    </row>
    <row r="184" ht="26.25" customHeight="1">
      <c r="A184" s="9"/>
    </row>
    <row r="185" ht="26.25" customHeight="1">
      <c r="A185" s="9"/>
    </row>
    <row r="186" ht="26.25" customHeight="1">
      <c r="A186" s="9"/>
    </row>
    <row r="187" ht="26.25" customHeight="1">
      <c r="A187" s="9"/>
    </row>
    <row r="188" ht="26.25" customHeight="1">
      <c r="A188" s="9"/>
    </row>
    <row r="189" ht="26.25" customHeight="1">
      <c r="A189" s="9"/>
    </row>
    <row r="190" ht="26.25" customHeight="1">
      <c r="A190" s="9"/>
    </row>
    <row r="191" ht="26.25" customHeight="1">
      <c r="A191" s="9"/>
    </row>
    <row r="192" ht="26.25" customHeight="1">
      <c r="A192" s="9"/>
    </row>
    <row r="193" ht="26.25" customHeight="1">
      <c r="A193" s="9"/>
    </row>
    <row r="194" ht="26.25" customHeight="1">
      <c r="A194" s="9"/>
    </row>
    <row r="195" ht="26.25" customHeight="1">
      <c r="A195" s="9"/>
    </row>
    <row r="196" ht="26.25" customHeight="1">
      <c r="A196" s="9"/>
    </row>
    <row r="197" ht="26.25" customHeight="1">
      <c r="A197" s="9"/>
    </row>
    <row r="198" ht="26.25" customHeight="1">
      <c r="A198" s="9"/>
    </row>
    <row r="199" ht="26.25" customHeight="1">
      <c r="A199" s="9"/>
    </row>
    <row r="200" ht="26.25" customHeight="1">
      <c r="A200" s="9"/>
    </row>
    <row r="201" ht="26.25" customHeight="1">
      <c r="A201" s="9"/>
    </row>
    <row r="202" ht="26.25" customHeight="1">
      <c r="A202" s="9"/>
    </row>
    <row r="203" ht="26.25" customHeight="1">
      <c r="A203" s="9"/>
    </row>
    <row r="204" ht="26.25" customHeight="1">
      <c r="A204" s="9"/>
    </row>
    <row r="205" ht="26.25" customHeight="1">
      <c r="A205" s="9"/>
    </row>
    <row r="206" ht="26.25" customHeight="1">
      <c r="A206" s="9"/>
    </row>
    <row r="207" ht="26.25" customHeight="1">
      <c r="A207" s="9"/>
    </row>
    <row r="208" ht="26.25" customHeight="1">
      <c r="A208" s="9"/>
    </row>
    <row r="209" ht="26.25" customHeight="1">
      <c r="A209" s="9"/>
    </row>
    <row r="210" ht="26.25" customHeight="1">
      <c r="A210" s="9"/>
    </row>
    <row r="211" ht="26.25" customHeight="1">
      <c r="A211" s="9"/>
    </row>
    <row r="212" ht="26.25" customHeight="1">
      <c r="A212" s="9"/>
    </row>
    <row r="213" ht="26.25" customHeight="1">
      <c r="A213" s="9"/>
    </row>
    <row r="214" ht="26.25" customHeight="1">
      <c r="A214" s="9"/>
    </row>
    <row r="215" ht="26.25" customHeight="1">
      <c r="A215" s="9"/>
    </row>
    <row r="216" ht="26.25" customHeight="1">
      <c r="A216" s="9"/>
    </row>
    <row r="217" ht="26.25" customHeight="1">
      <c r="A217" s="9"/>
    </row>
    <row r="218" ht="26.25" customHeight="1">
      <c r="A218" s="9"/>
    </row>
    <row r="219" ht="26.25" customHeight="1">
      <c r="A219" s="9"/>
    </row>
    <row r="220" ht="26.25" customHeight="1">
      <c r="A220" s="9"/>
    </row>
    <row r="221" ht="26.25" customHeight="1">
      <c r="A221" s="9"/>
    </row>
    <row r="222" ht="26.25" customHeight="1">
      <c r="A222" s="9"/>
    </row>
    <row r="223" ht="26.25" customHeight="1">
      <c r="A223" s="9"/>
    </row>
    <row r="224" ht="26.25" customHeight="1">
      <c r="A224" s="9"/>
    </row>
    <row r="225" ht="26.25" customHeight="1">
      <c r="A225" s="9"/>
    </row>
    <row r="226" ht="26.25" customHeight="1">
      <c r="A226" s="9"/>
    </row>
    <row r="227" ht="26.25" customHeight="1">
      <c r="A227" s="9"/>
    </row>
    <row r="228" ht="26.25" customHeight="1">
      <c r="A228" s="9"/>
    </row>
    <row r="229" ht="26.25" customHeight="1">
      <c r="A229" s="9"/>
    </row>
    <row r="230" ht="26.25" customHeight="1">
      <c r="A230" s="9"/>
    </row>
    <row r="231" ht="26.25" customHeight="1">
      <c r="A231" s="9"/>
    </row>
    <row r="232" ht="26.25" customHeight="1">
      <c r="A232" s="9"/>
    </row>
    <row r="233" ht="26.25" customHeight="1">
      <c r="A233" s="9"/>
    </row>
    <row r="234" ht="26.25" customHeight="1">
      <c r="A234" s="9"/>
    </row>
    <row r="235" ht="26.25" customHeight="1">
      <c r="A235" s="9"/>
    </row>
    <row r="236" ht="26.25" customHeight="1">
      <c r="A236" s="9"/>
    </row>
    <row r="237" ht="26.25" customHeight="1">
      <c r="A237" s="9"/>
    </row>
    <row r="238" ht="26.25" customHeight="1">
      <c r="A238" s="9"/>
    </row>
    <row r="239" ht="26.25" customHeight="1">
      <c r="A239" s="9"/>
    </row>
    <row r="240" ht="26.25" customHeight="1">
      <c r="A240" s="9"/>
    </row>
    <row r="241" ht="26.25" customHeight="1">
      <c r="A241" s="9"/>
    </row>
    <row r="242" ht="26.25" customHeight="1">
      <c r="A242" s="9"/>
    </row>
    <row r="243" ht="26.25" customHeight="1">
      <c r="A243" s="9"/>
    </row>
    <row r="244" ht="26.25" customHeight="1">
      <c r="A244" s="9"/>
    </row>
    <row r="245" ht="26.25" customHeight="1">
      <c r="A245" s="9"/>
    </row>
    <row r="246" ht="26.25" customHeight="1">
      <c r="A246" s="9"/>
    </row>
    <row r="247" ht="26.25" customHeight="1">
      <c r="A247" s="9"/>
    </row>
    <row r="248" ht="26.25" customHeight="1">
      <c r="A248" s="9"/>
    </row>
    <row r="249" ht="26.25" customHeight="1">
      <c r="A249" s="9"/>
    </row>
    <row r="250" ht="26.25" customHeight="1">
      <c r="A250" s="9"/>
    </row>
    <row r="251" ht="26.25" customHeight="1">
      <c r="A251" s="9"/>
    </row>
    <row r="252" ht="26.25" customHeight="1">
      <c r="A252" s="9"/>
    </row>
    <row r="253" ht="26.25" customHeight="1">
      <c r="A253" s="9"/>
    </row>
    <row r="254" ht="26.25" customHeight="1">
      <c r="A254" s="9"/>
    </row>
    <row r="255" ht="26.25" customHeight="1">
      <c r="A255" s="9"/>
    </row>
    <row r="256" ht="26.25" customHeight="1">
      <c r="A256" s="9"/>
    </row>
    <row r="257" ht="26.25" customHeight="1">
      <c r="A257" s="9"/>
    </row>
    <row r="258" ht="26.25" customHeight="1">
      <c r="A258" s="9"/>
    </row>
    <row r="259" ht="26.25" customHeight="1">
      <c r="A259" s="9"/>
    </row>
    <row r="260" ht="26.25" customHeight="1">
      <c r="A260" s="9"/>
    </row>
    <row r="261" ht="26.25" customHeight="1">
      <c r="A261" s="9"/>
    </row>
    <row r="262" ht="26.25" customHeight="1">
      <c r="A262" s="9"/>
    </row>
    <row r="263" ht="26.25" customHeight="1">
      <c r="A263" s="9"/>
    </row>
    <row r="264" ht="26.25" customHeight="1">
      <c r="A264" s="9"/>
    </row>
    <row r="265" ht="26.25" customHeight="1">
      <c r="A265" s="9"/>
    </row>
    <row r="266" ht="26.25" customHeight="1">
      <c r="A266" s="9"/>
    </row>
    <row r="267" ht="26.25" customHeight="1">
      <c r="A267" s="9"/>
    </row>
    <row r="268" ht="26.25" customHeight="1">
      <c r="A268" s="9"/>
    </row>
    <row r="269" ht="26.25" customHeight="1">
      <c r="A269" s="9"/>
    </row>
    <row r="270" ht="26.25" customHeight="1">
      <c r="A270" s="9"/>
    </row>
    <row r="271" ht="26.25" customHeight="1">
      <c r="A271" s="9"/>
    </row>
    <row r="272" ht="26.25" customHeight="1">
      <c r="A272" s="9"/>
    </row>
    <row r="273" ht="26.25" customHeight="1">
      <c r="A273" s="9"/>
    </row>
    <row r="274" ht="26.25" customHeight="1">
      <c r="A274" s="9"/>
    </row>
    <row r="275" ht="26.25" customHeight="1">
      <c r="A275" s="9"/>
    </row>
    <row r="276" ht="26.25" customHeight="1">
      <c r="A276" s="9"/>
    </row>
    <row r="277" ht="26.25" customHeight="1">
      <c r="A277" s="9"/>
    </row>
    <row r="278" ht="26.25" customHeight="1">
      <c r="A278" s="9"/>
    </row>
    <row r="279" ht="26.25" customHeight="1">
      <c r="A279" s="9"/>
    </row>
    <row r="280" ht="26.25" customHeight="1">
      <c r="A280" s="9"/>
    </row>
    <row r="281" ht="26.25" customHeight="1">
      <c r="A281" s="9"/>
    </row>
    <row r="282" ht="26.25" customHeight="1">
      <c r="A282" s="9"/>
    </row>
    <row r="283" ht="26.25" customHeight="1">
      <c r="A283" s="9"/>
    </row>
    <row r="284" ht="26.25" customHeight="1">
      <c r="A284" s="9"/>
    </row>
    <row r="285" ht="26.25" customHeight="1">
      <c r="A285" s="9"/>
    </row>
    <row r="286" ht="26.25" customHeight="1">
      <c r="A286" s="9"/>
    </row>
    <row r="287" ht="26.25" customHeight="1">
      <c r="A287" s="9"/>
    </row>
    <row r="288" ht="26.25" customHeight="1">
      <c r="A288" s="9"/>
    </row>
    <row r="289" ht="26.25" customHeight="1">
      <c r="A289" s="9"/>
    </row>
    <row r="290" ht="26.25" customHeight="1">
      <c r="A290" s="9"/>
    </row>
    <row r="291" ht="26.25" customHeight="1">
      <c r="A291" s="9"/>
    </row>
    <row r="292" ht="26.25" customHeight="1">
      <c r="A292" s="9"/>
    </row>
    <row r="293" ht="26.25" customHeight="1">
      <c r="A293" s="9"/>
    </row>
    <row r="294" ht="26.25" customHeight="1">
      <c r="A294" s="9"/>
    </row>
    <row r="295" ht="26.25" customHeight="1">
      <c r="A295" s="9"/>
    </row>
    <row r="296" ht="26.25" customHeight="1">
      <c r="A296" s="9"/>
    </row>
    <row r="297" ht="26.25" customHeight="1">
      <c r="A297" s="9"/>
    </row>
    <row r="298" ht="26.25" customHeight="1">
      <c r="A298" s="9"/>
    </row>
    <row r="299" ht="26.25" customHeight="1">
      <c r="A299" s="9"/>
    </row>
    <row r="300" ht="26.25" customHeight="1">
      <c r="A300" s="9"/>
    </row>
    <row r="301" ht="26.25" customHeight="1">
      <c r="A301" s="9"/>
    </row>
    <row r="302" ht="26.25" customHeight="1">
      <c r="A302" s="9"/>
    </row>
    <row r="303" ht="26.25" customHeight="1">
      <c r="A303" s="9"/>
    </row>
    <row r="304" ht="26.25" customHeight="1">
      <c r="A304" s="9"/>
    </row>
    <row r="305" ht="26.25" customHeight="1">
      <c r="A305" s="9"/>
    </row>
    <row r="306" ht="26.25" customHeight="1">
      <c r="A306" s="9"/>
    </row>
    <row r="307" ht="26.25" customHeight="1">
      <c r="A307" s="9"/>
    </row>
    <row r="308" ht="26.25" customHeight="1">
      <c r="A308" s="9"/>
    </row>
    <row r="309" ht="26.25" customHeight="1">
      <c r="A309" s="9"/>
    </row>
    <row r="310" ht="26.25" customHeight="1">
      <c r="A310" s="9"/>
    </row>
    <row r="311" ht="26.25" customHeight="1">
      <c r="A311" s="9"/>
    </row>
    <row r="312" ht="26.25" customHeight="1">
      <c r="A312" s="9"/>
    </row>
    <row r="313" ht="26.25" customHeight="1">
      <c r="A313" s="9"/>
    </row>
    <row r="314" ht="26.25" customHeight="1">
      <c r="A314" s="9"/>
    </row>
    <row r="315" ht="26.25" customHeight="1">
      <c r="A315" s="9"/>
    </row>
    <row r="316" ht="26.25" customHeight="1">
      <c r="A316" s="9"/>
    </row>
    <row r="317" ht="26.25" customHeight="1">
      <c r="A317" s="9"/>
    </row>
    <row r="318" ht="26.25" customHeight="1">
      <c r="A318" s="9"/>
    </row>
    <row r="319" ht="26.25" customHeight="1">
      <c r="A319" s="9"/>
    </row>
    <row r="320" ht="26.25" customHeight="1">
      <c r="A320" s="9"/>
    </row>
    <row r="321" ht="26.25" customHeight="1">
      <c r="A321" s="9"/>
    </row>
    <row r="322" ht="26.25" customHeight="1">
      <c r="A322" s="9"/>
    </row>
    <row r="323" ht="26.25" customHeight="1">
      <c r="A323" s="9"/>
    </row>
    <row r="324" ht="26.25" customHeight="1">
      <c r="A324" s="9"/>
    </row>
    <row r="325" ht="26.25" customHeight="1">
      <c r="A325" s="9"/>
    </row>
    <row r="326" ht="26.25" customHeight="1">
      <c r="A326" s="9"/>
    </row>
    <row r="327" ht="26.25" customHeight="1">
      <c r="A327" s="9"/>
    </row>
    <row r="328" ht="26.25" customHeight="1">
      <c r="A328" s="9"/>
    </row>
    <row r="329" ht="26.25" customHeight="1">
      <c r="A329" s="9"/>
    </row>
    <row r="330" ht="26.25" customHeight="1">
      <c r="A330" s="9"/>
    </row>
    <row r="331" ht="26.25" customHeight="1">
      <c r="A331" s="9"/>
    </row>
    <row r="332" ht="26.25" customHeight="1">
      <c r="A332" s="9"/>
    </row>
    <row r="333" ht="26.25" customHeight="1">
      <c r="A333" s="9"/>
    </row>
    <row r="334" ht="26.25" customHeight="1">
      <c r="A334" s="9"/>
    </row>
    <row r="335" ht="26.25" customHeight="1">
      <c r="A335" s="9"/>
    </row>
    <row r="336" ht="26.25" customHeight="1">
      <c r="A336" s="9"/>
    </row>
    <row r="337" ht="26.25" customHeight="1">
      <c r="A337" s="9"/>
    </row>
    <row r="338" ht="26.25" customHeight="1">
      <c r="A338" s="9"/>
    </row>
    <row r="339" ht="26.25" customHeight="1">
      <c r="A339" s="9"/>
    </row>
    <row r="340" ht="26.25" customHeight="1">
      <c r="A340" s="9"/>
    </row>
    <row r="341" ht="26.25" customHeight="1">
      <c r="A341" s="9"/>
    </row>
    <row r="342" ht="26.25" customHeight="1">
      <c r="A342" s="9"/>
    </row>
    <row r="343" ht="26.25" customHeight="1">
      <c r="A343" s="9"/>
    </row>
    <row r="344" ht="26.25" customHeight="1">
      <c r="A344" s="9"/>
    </row>
    <row r="345" ht="26.25" customHeight="1">
      <c r="A345" s="9"/>
    </row>
    <row r="346" ht="26.25" customHeight="1">
      <c r="A346" s="9"/>
    </row>
    <row r="347" ht="26.25" customHeight="1">
      <c r="A347" s="9"/>
    </row>
    <row r="348" ht="26.25" customHeight="1">
      <c r="A348" s="9"/>
    </row>
    <row r="349" ht="26.25" customHeight="1">
      <c r="A349" s="9"/>
    </row>
    <row r="350" ht="26.25" customHeight="1">
      <c r="A350" s="9"/>
    </row>
    <row r="351" ht="26.25" customHeight="1">
      <c r="A351" s="9"/>
    </row>
    <row r="352" ht="26.25" customHeight="1">
      <c r="A352" s="9"/>
    </row>
    <row r="353" ht="26.25" customHeight="1">
      <c r="A353" s="9"/>
    </row>
    <row r="354" ht="26.25" customHeight="1">
      <c r="A354" s="9"/>
    </row>
    <row r="355" ht="26.25" customHeight="1">
      <c r="A355" s="9"/>
    </row>
    <row r="356" ht="26.25" customHeight="1">
      <c r="A356" s="9"/>
    </row>
    <row r="357" ht="26.25" customHeight="1">
      <c r="A357" s="9"/>
    </row>
    <row r="358" ht="26.25" customHeight="1">
      <c r="A358" s="9"/>
    </row>
    <row r="359" ht="26.25" customHeight="1">
      <c r="A359" s="9"/>
    </row>
    <row r="360" ht="26.25" customHeight="1">
      <c r="A360" s="9"/>
    </row>
    <row r="361" ht="26.25" customHeight="1">
      <c r="A361" s="9"/>
    </row>
    <row r="362" ht="26.25" customHeight="1">
      <c r="A362" s="9"/>
    </row>
    <row r="363" ht="26.25" customHeight="1">
      <c r="A363" s="9"/>
    </row>
    <row r="364" ht="26.25" customHeight="1">
      <c r="A364" s="9"/>
    </row>
    <row r="365" ht="26.25" customHeight="1">
      <c r="A365" s="9"/>
    </row>
    <row r="366" ht="26.25" customHeight="1">
      <c r="A366" s="9"/>
    </row>
    <row r="367" ht="26.25" customHeight="1">
      <c r="A367" s="9"/>
    </row>
    <row r="368" ht="26.25" customHeight="1">
      <c r="A368" s="9"/>
    </row>
    <row r="369" ht="26.25" customHeight="1">
      <c r="A369" s="9"/>
    </row>
    <row r="370" ht="26.25" customHeight="1">
      <c r="A370" s="9"/>
    </row>
    <row r="371" ht="26.25" customHeight="1">
      <c r="A371" s="9"/>
    </row>
    <row r="372" ht="26.25" customHeight="1">
      <c r="A372" s="9"/>
    </row>
    <row r="373" ht="26.25" customHeight="1">
      <c r="A373" s="9"/>
    </row>
    <row r="374" ht="26.25" customHeight="1">
      <c r="A374" s="9"/>
    </row>
    <row r="375" ht="26.25" customHeight="1">
      <c r="A375" s="9"/>
    </row>
    <row r="376" ht="26.25" customHeight="1">
      <c r="A376" s="9"/>
    </row>
    <row r="377" ht="26.25" customHeight="1">
      <c r="A377" s="9"/>
    </row>
    <row r="378" ht="26.25" customHeight="1">
      <c r="A378" s="9"/>
    </row>
    <row r="379" ht="26.25" customHeight="1">
      <c r="A379" s="9"/>
    </row>
    <row r="380" ht="26.25" customHeight="1">
      <c r="A380" s="9"/>
    </row>
    <row r="381" ht="26.25" customHeight="1">
      <c r="A381" s="9"/>
    </row>
    <row r="382" ht="26.25" customHeight="1">
      <c r="A382" s="9"/>
    </row>
    <row r="383" ht="26.25" customHeight="1">
      <c r="A383" s="9"/>
    </row>
    <row r="384" ht="26.25" customHeight="1">
      <c r="A384" s="9"/>
    </row>
    <row r="385" ht="26.25" customHeight="1">
      <c r="A385" s="9"/>
    </row>
    <row r="386" ht="26.25" customHeight="1">
      <c r="A386" s="9"/>
    </row>
    <row r="387" ht="26.25" customHeight="1">
      <c r="A387" s="9"/>
    </row>
    <row r="388" ht="26.25" customHeight="1">
      <c r="A388" s="9"/>
    </row>
    <row r="389" ht="26.25" customHeight="1">
      <c r="A389" s="9"/>
    </row>
    <row r="390" ht="26.25" customHeight="1">
      <c r="A390" s="9"/>
    </row>
    <row r="391" ht="26.25" customHeight="1">
      <c r="A391" s="9"/>
    </row>
    <row r="392" ht="26.25" customHeight="1">
      <c r="A392" s="9"/>
    </row>
    <row r="393" ht="26.25" customHeight="1">
      <c r="A393" s="9"/>
    </row>
    <row r="394" ht="26.25" customHeight="1">
      <c r="A394" s="9"/>
    </row>
    <row r="395" ht="26.25" customHeight="1">
      <c r="A395" s="9"/>
    </row>
    <row r="396" ht="26.25" customHeight="1">
      <c r="A396" s="9"/>
    </row>
    <row r="397" ht="26.25" customHeight="1">
      <c r="A397" s="9"/>
    </row>
    <row r="398" ht="26.25" customHeight="1">
      <c r="A398" s="9"/>
    </row>
    <row r="399" ht="26.25" customHeight="1">
      <c r="A399" s="9"/>
    </row>
    <row r="400" ht="26.25" customHeight="1">
      <c r="A400" s="9"/>
    </row>
    <row r="401" ht="26.25" customHeight="1">
      <c r="A401" s="9"/>
    </row>
    <row r="402" ht="26.25" customHeight="1">
      <c r="A402" s="9"/>
    </row>
    <row r="403" ht="26.25" customHeight="1">
      <c r="A403" s="9"/>
    </row>
    <row r="404" ht="26.25" customHeight="1">
      <c r="A404" s="9"/>
    </row>
    <row r="405" ht="26.25" customHeight="1">
      <c r="A405" s="9"/>
    </row>
    <row r="406" ht="26.25" customHeight="1">
      <c r="A406" s="9"/>
    </row>
    <row r="407" ht="26.25" customHeight="1">
      <c r="A407" s="9"/>
    </row>
    <row r="408" ht="26.25" customHeight="1">
      <c r="A408" s="9"/>
    </row>
    <row r="409" ht="26.25" customHeight="1">
      <c r="A409" s="9"/>
    </row>
    <row r="410" ht="26.25" customHeight="1">
      <c r="A410" s="9"/>
    </row>
    <row r="411" ht="26.25" customHeight="1">
      <c r="A411" s="9"/>
    </row>
    <row r="412" ht="26.25" customHeight="1">
      <c r="A412" s="9"/>
    </row>
    <row r="413" ht="26.25" customHeight="1">
      <c r="A413" s="9"/>
    </row>
    <row r="414" ht="26.25" customHeight="1">
      <c r="A414" s="9"/>
    </row>
    <row r="415" ht="26.25" customHeight="1">
      <c r="A415" s="9"/>
    </row>
    <row r="416" ht="26.25" customHeight="1">
      <c r="A416" s="9"/>
    </row>
    <row r="417" ht="26.25" customHeight="1">
      <c r="A417" s="9"/>
    </row>
    <row r="418" ht="26.25" customHeight="1">
      <c r="A418" s="9"/>
    </row>
    <row r="419" ht="26.25" customHeight="1">
      <c r="A419" s="9"/>
    </row>
    <row r="420" ht="26.25" customHeight="1">
      <c r="A420" s="9"/>
    </row>
    <row r="421" ht="26.25" customHeight="1">
      <c r="A421" s="9"/>
    </row>
    <row r="422" ht="26.25" customHeight="1">
      <c r="A422" s="9"/>
    </row>
    <row r="423" ht="26.25" customHeight="1">
      <c r="A423" s="9"/>
    </row>
    <row r="424" ht="26.25" customHeight="1">
      <c r="A424" s="9"/>
    </row>
    <row r="425" ht="26.25" customHeight="1">
      <c r="A425" s="9"/>
    </row>
    <row r="426" ht="26.25" customHeight="1">
      <c r="A426" s="9"/>
    </row>
    <row r="427" ht="26.25" customHeight="1">
      <c r="A427" s="9"/>
    </row>
    <row r="428" ht="26.25" customHeight="1">
      <c r="A428" s="9"/>
    </row>
    <row r="429" ht="26.25" customHeight="1">
      <c r="A429" s="9"/>
    </row>
    <row r="430" ht="26.25" customHeight="1">
      <c r="A430" s="9"/>
    </row>
    <row r="431" ht="26.25" customHeight="1">
      <c r="A431" s="9"/>
    </row>
    <row r="432" ht="26.25" customHeight="1">
      <c r="A432" s="9"/>
    </row>
    <row r="433" ht="26.25" customHeight="1">
      <c r="A433" s="9"/>
    </row>
    <row r="434" ht="26.25" customHeight="1">
      <c r="A434" s="9"/>
    </row>
    <row r="435" ht="26.25" customHeight="1">
      <c r="A435" s="9"/>
    </row>
    <row r="436" ht="26.25" customHeight="1">
      <c r="A436" s="9"/>
    </row>
    <row r="437" ht="26.25" customHeight="1">
      <c r="A437" s="9"/>
    </row>
    <row r="438" ht="26.25" customHeight="1">
      <c r="A438" s="9"/>
    </row>
    <row r="439" ht="26.25" customHeight="1">
      <c r="A439" s="9"/>
    </row>
    <row r="440" ht="26.25" customHeight="1">
      <c r="A440" s="9"/>
    </row>
    <row r="441" ht="26.25" customHeight="1">
      <c r="A441" s="9"/>
    </row>
    <row r="442" ht="26.25" customHeight="1">
      <c r="A442" s="9"/>
    </row>
    <row r="443" ht="26.25" customHeight="1">
      <c r="A443" s="9"/>
    </row>
    <row r="444" ht="26.25" customHeight="1">
      <c r="A444" s="9"/>
    </row>
    <row r="445" ht="26.25" customHeight="1">
      <c r="A445" s="9"/>
    </row>
    <row r="446" ht="26.25" customHeight="1">
      <c r="A446" s="9"/>
    </row>
    <row r="447" ht="26.25" customHeight="1">
      <c r="A447" s="9"/>
    </row>
    <row r="448" ht="26.25" customHeight="1">
      <c r="A448" s="9"/>
    </row>
    <row r="449" ht="26.25" customHeight="1">
      <c r="A449" s="9"/>
    </row>
    <row r="450" ht="26.25" customHeight="1">
      <c r="A450" s="9"/>
    </row>
    <row r="451" ht="26.25" customHeight="1">
      <c r="A451" s="9"/>
    </row>
    <row r="452" ht="26.25" customHeight="1">
      <c r="A452" s="9"/>
    </row>
    <row r="453" ht="26.25" customHeight="1">
      <c r="A453" s="9"/>
    </row>
    <row r="454" ht="26.25" customHeight="1">
      <c r="A454" s="9"/>
    </row>
    <row r="455" ht="26.25" customHeight="1">
      <c r="A455" s="9"/>
    </row>
    <row r="456" ht="26.25" customHeight="1">
      <c r="A456" s="9"/>
    </row>
    <row r="457" ht="26.25" customHeight="1">
      <c r="A457" s="9"/>
    </row>
    <row r="458" ht="26.25" customHeight="1">
      <c r="A458" s="9"/>
    </row>
    <row r="459" ht="26.25" customHeight="1">
      <c r="A459" s="9"/>
    </row>
    <row r="460" ht="26.25" customHeight="1">
      <c r="A460" s="9"/>
    </row>
    <row r="461" ht="26.25" customHeight="1">
      <c r="A461" s="9"/>
    </row>
    <row r="462" ht="26.25" customHeight="1">
      <c r="A462" s="9"/>
    </row>
    <row r="463" ht="26.25" customHeight="1">
      <c r="A463" s="9"/>
    </row>
    <row r="464" ht="26.25" customHeight="1">
      <c r="A464" s="9"/>
    </row>
    <row r="465" ht="26.25" customHeight="1">
      <c r="A465" s="9"/>
    </row>
    <row r="466" ht="26.25" customHeight="1">
      <c r="A466" s="9"/>
    </row>
    <row r="467" ht="26.25" customHeight="1">
      <c r="A467" s="9"/>
    </row>
    <row r="468" ht="26.25" customHeight="1">
      <c r="A468" s="9"/>
    </row>
    <row r="469" ht="26.25" customHeight="1">
      <c r="A469" s="9"/>
    </row>
    <row r="470" ht="26.25" customHeight="1">
      <c r="A470" s="9"/>
    </row>
    <row r="471" ht="26.25" customHeight="1">
      <c r="A471" s="9"/>
    </row>
    <row r="472" ht="26.25" customHeight="1">
      <c r="A472" s="9"/>
    </row>
    <row r="473" ht="26.25" customHeight="1">
      <c r="A473" s="9"/>
    </row>
    <row r="474" ht="26.25" customHeight="1">
      <c r="A474" s="9"/>
    </row>
    <row r="475" ht="26.25" customHeight="1">
      <c r="A475" s="9"/>
    </row>
    <row r="476" ht="26.25" customHeight="1">
      <c r="A476" s="9"/>
    </row>
    <row r="477" ht="26.25" customHeight="1">
      <c r="A477" s="9"/>
    </row>
    <row r="478" ht="26.25" customHeight="1">
      <c r="A478" s="9"/>
    </row>
    <row r="479" ht="26.25" customHeight="1">
      <c r="A479" s="9"/>
    </row>
    <row r="480" ht="26.25" customHeight="1">
      <c r="A480" s="9"/>
    </row>
    <row r="481" ht="26.25" customHeight="1">
      <c r="A481" s="9"/>
    </row>
    <row r="482" ht="26.25" customHeight="1">
      <c r="A482" s="9"/>
    </row>
    <row r="483" ht="26.25" customHeight="1">
      <c r="A483" s="9"/>
    </row>
    <row r="484" ht="26.25" customHeight="1">
      <c r="A484" s="9"/>
    </row>
    <row r="485" ht="26.25" customHeight="1">
      <c r="A485" s="9"/>
    </row>
    <row r="486" ht="26.25" customHeight="1">
      <c r="A486" s="9"/>
    </row>
    <row r="487" ht="26.25" customHeight="1">
      <c r="A487" s="9"/>
    </row>
    <row r="488" ht="26.25" customHeight="1">
      <c r="A488" s="9"/>
    </row>
    <row r="489" ht="26.25" customHeight="1">
      <c r="A489" s="9"/>
    </row>
    <row r="490" ht="26.25" customHeight="1">
      <c r="A490" s="9"/>
    </row>
    <row r="491" ht="26.25" customHeight="1">
      <c r="A491" s="9"/>
    </row>
    <row r="492" ht="26.25" customHeight="1">
      <c r="A492" s="9"/>
    </row>
    <row r="493" ht="26.25" customHeight="1">
      <c r="A493" s="9"/>
    </row>
    <row r="494" ht="26.25" customHeight="1">
      <c r="A494" s="9"/>
    </row>
    <row r="495" ht="26.25" customHeight="1">
      <c r="A495" s="9"/>
    </row>
    <row r="496" ht="26.25" customHeight="1">
      <c r="A496" s="9"/>
    </row>
    <row r="497" ht="26.25" customHeight="1">
      <c r="A497" s="9"/>
    </row>
    <row r="498" ht="26.25" customHeight="1">
      <c r="A498" s="9"/>
    </row>
    <row r="499" ht="26.25" customHeight="1">
      <c r="A499" s="9"/>
    </row>
    <row r="500" ht="26.25" customHeight="1">
      <c r="A500" s="9"/>
    </row>
    <row r="501" ht="26.25" customHeight="1">
      <c r="A501" s="9"/>
    </row>
    <row r="502" ht="26.25" customHeight="1">
      <c r="A502" s="9"/>
    </row>
    <row r="503" ht="26.25" customHeight="1">
      <c r="A503" s="9"/>
    </row>
    <row r="504" ht="26.25" customHeight="1">
      <c r="A504" s="9"/>
    </row>
    <row r="505" ht="26.25" customHeight="1">
      <c r="A505" s="9"/>
    </row>
    <row r="506" ht="26.25" customHeight="1">
      <c r="A506" s="9"/>
    </row>
    <row r="507" ht="26.25" customHeight="1">
      <c r="A507" s="9"/>
    </row>
    <row r="508" ht="26.25" customHeight="1">
      <c r="A508" s="9"/>
    </row>
    <row r="509" ht="26.25" customHeight="1">
      <c r="A509" s="9"/>
    </row>
    <row r="510" ht="26.25" customHeight="1">
      <c r="A510" s="9"/>
    </row>
    <row r="511" ht="26.25" customHeight="1">
      <c r="A511" s="9"/>
    </row>
    <row r="512" ht="26.25" customHeight="1">
      <c r="A512" s="9"/>
    </row>
    <row r="513" ht="26.25" customHeight="1">
      <c r="A513" s="9"/>
    </row>
    <row r="514" ht="26.25" customHeight="1">
      <c r="A514" s="9"/>
    </row>
    <row r="515" ht="26.25" customHeight="1">
      <c r="A515" s="9"/>
    </row>
    <row r="516" ht="26.25" customHeight="1">
      <c r="A516" s="9"/>
    </row>
    <row r="517" ht="26.25" customHeight="1">
      <c r="A517" s="9"/>
    </row>
    <row r="518" ht="26.25" customHeight="1">
      <c r="A518" s="9"/>
    </row>
    <row r="519" ht="26.25" customHeight="1">
      <c r="A519" s="9"/>
    </row>
    <row r="520" ht="26.25" customHeight="1">
      <c r="A520" s="9"/>
    </row>
    <row r="521" ht="26.25" customHeight="1">
      <c r="A521" s="9"/>
    </row>
    <row r="522" ht="26.25" customHeight="1">
      <c r="A522" s="9"/>
    </row>
    <row r="523" ht="26.25" customHeight="1">
      <c r="A523" s="9"/>
    </row>
    <row r="524" ht="26.25" customHeight="1">
      <c r="A524" s="9"/>
    </row>
    <row r="525" ht="26.25" customHeight="1">
      <c r="A525" s="9"/>
    </row>
    <row r="526" ht="26.25" customHeight="1">
      <c r="A526" s="9"/>
    </row>
    <row r="527" ht="26.25" customHeight="1">
      <c r="A527" s="9"/>
    </row>
    <row r="528" ht="26.25" customHeight="1">
      <c r="A528" s="9"/>
    </row>
    <row r="529" ht="26.25" customHeight="1">
      <c r="A529" s="9"/>
    </row>
    <row r="530" ht="26.25" customHeight="1">
      <c r="A530" s="9"/>
    </row>
    <row r="531" ht="26.25" customHeight="1">
      <c r="A531" s="9"/>
    </row>
    <row r="532" ht="26.25" customHeight="1">
      <c r="A532" s="9"/>
    </row>
    <row r="533" ht="26.25" customHeight="1">
      <c r="A533" s="9"/>
    </row>
    <row r="534" ht="26.25" customHeight="1">
      <c r="A534" s="9"/>
    </row>
    <row r="535" ht="26.25" customHeight="1">
      <c r="A535" s="9"/>
    </row>
    <row r="536" ht="26.25" customHeight="1">
      <c r="A536" s="9"/>
    </row>
    <row r="537" ht="26.25" customHeight="1">
      <c r="A537" s="9"/>
    </row>
    <row r="538" ht="26.25" customHeight="1">
      <c r="A538" s="9"/>
    </row>
    <row r="539" ht="26.25" customHeight="1">
      <c r="A539" s="9"/>
    </row>
    <row r="540" ht="26.25" customHeight="1">
      <c r="A540" s="9"/>
    </row>
    <row r="541" ht="26.25" customHeight="1">
      <c r="A541" s="9"/>
    </row>
    <row r="542" ht="26.25" customHeight="1">
      <c r="A542" s="9"/>
    </row>
    <row r="543" ht="26.25" customHeight="1">
      <c r="A543" s="9"/>
    </row>
    <row r="544" ht="26.25" customHeight="1">
      <c r="A544" s="9"/>
    </row>
    <row r="545" ht="26.25" customHeight="1">
      <c r="A545" s="9"/>
    </row>
    <row r="546" ht="26.25" customHeight="1">
      <c r="A546" s="9"/>
    </row>
    <row r="547" ht="26.25" customHeight="1">
      <c r="A547" s="9"/>
    </row>
    <row r="548" ht="26.25" customHeight="1">
      <c r="A548" s="9"/>
    </row>
    <row r="549" ht="26.25" customHeight="1">
      <c r="A549" s="9"/>
    </row>
    <row r="550" ht="26.25" customHeight="1">
      <c r="A550" s="9"/>
    </row>
    <row r="551" ht="26.25" customHeight="1">
      <c r="A551" s="9"/>
    </row>
    <row r="552" ht="26.25" customHeight="1">
      <c r="A552" s="9"/>
    </row>
    <row r="553" ht="26.25" customHeight="1">
      <c r="A553" s="9"/>
    </row>
    <row r="554" ht="26.25" customHeight="1">
      <c r="A554" s="9"/>
    </row>
    <row r="555" ht="26.25" customHeight="1">
      <c r="A555" s="9"/>
    </row>
    <row r="556" ht="26.25" customHeight="1">
      <c r="A556" s="9"/>
    </row>
    <row r="557" ht="26.25" customHeight="1">
      <c r="A557" s="9"/>
    </row>
    <row r="558" ht="26.25" customHeight="1">
      <c r="A558" s="9"/>
    </row>
    <row r="559" ht="26.25" customHeight="1">
      <c r="A559" s="9"/>
    </row>
    <row r="560" ht="26.25" customHeight="1">
      <c r="A560" s="9"/>
    </row>
    <row r="561" ht="26.25" customHeight="1">
      <c r="A561" s="9"/>
    </row>
    <row r="562" ht="26.25" customHeight="1">
      <c r="A562" s="9"/>
    </row>
    <row r="563" ht="26.25" customHeight="1">
      <c r="A563" s="9"/>
    </row>
    <row r="564" ht="26.25" customHeight="1">
      <c r="A564" s="9"/>
    </row>
    <row r="565" ht="26.25" customHeight="1">
      <c r="A565" s="9"/>
    </row>
    <row r="566" ht="26.25" customHeight="1">
      <c r="A566" s="9"/>
    </row>
    <row r="567" ht="26.25" customHeight="1">
      <c r="A567" s="9"/>
    </row>
    <row r="568" ht="26.25" customHeight="1">
      <c r="A568" s="9"/>
    </row>
    <row r="569" ht="26.25" customHeight="1">
      <c r="A569" s="9"/>
    </row>
    <row r="570" ht="26.25" customHeight="1">
      <c r="A570" s="9"/>
    </row>
    <row r="571" ht="26.25" customHeight="1">
      <c r="A571" s="9"/>
    </row>
    <row r="572" ht="26.25" customHeight="1">
      <c r="A572" s="9"/>
    </row>
    <row r="573" ht="26.25" customHeight="1">
      <c r="A573" s="9"/>
    </row>
    <row r="574" ht="26.25" customHeight="1">
      <c r="A574" s="9"/>
    </row>
    <row r="575" ht="26.25" customHeight="1">
      <c r="A575" s="9"/>
    </row>
    <row r="576" ht="26.25" customHeight="1">
      <c r="A576" s="9"/>
    </row>
    <row r="577" ht="26.25" customHeight="1">
      <c r="A577" s="9"/>
    </row>
    <row r="578" ht="26.25" customHeight="1">
      <c r="A578" s="9"/>
    </row>
    <row r="579" ht="26.25" customHeight="1">
      <c r="A579" s="9"/>
    </row>
    <row r="580" ht="26.25" customHeight="1">
      <c r="A580" s="9"/>
    </row>
    <row r="581" ht="26.25" customHeight="1">
      <c r="A581" s="9"/>
    </row>
    <row r="582" ht="26.25" customHeight="1">
      <c r="A582" s="9"/>
    </row>
    <row r="583" ht="26.25" customHeight="1">
      <c r="A583" s="9"/>
    </row>
    <row r="584" ht="26.25" customHeight="1">
      <c r="A584" s="9"/>
    </row>
    <row r="585" ht="26.25" customHeight="1">
      <c r="A585" s="9"/>
    </row>
    <row r="586" ht="26.25" customHeight="1">
      <c r="A586" s="9"/>
    </row>
    <row r="587" ht="26.25" customHeight="1">
      <c r="A587" s="9"/>
    </row>
    <row r="588" ht="26.25" customHeight="1">
      <c r="A588" s="9"/>
    </row>
    <row r="589" ht="26.25" customHeight="1">
      <c r="A589" s="9"/>
    </row>
    <row r="590" ht="26.25" customHeight="1">
      <c r="A590" s="9"/>
    </row>
    <row r="591" ht="26.25" customHeight="1">
      <c r="A591" s="9"/>
    </row>
    <row r="592" ht="26.25" customHeight="1">
      <c r="A592" s="9"/>
    </row>
    <row r="593" ht="26.25" customHeight="1">
      <c r="A593" s="9"/>
    </row>
    <row r="594" ht="26.25" customHeight="1">
      <c r="A594" s="9"/>
    </row>
    <row r="595" ht="26.25" customHeight="1">
      <c r="A595" s="9"/>
    </row>
    <row r="596" ht="26.25" customHeight="1">
      <c r="A596" s="9"/>
    </row>
    <row r="597" ht="26.25" customHeight="1">
      <c r="A597" s="9"/>
    </row>
    <row r="598" ht="26.25" customHeight="1">
      <c r="A598" s="9"/>
    </row>
    <row r="599" ht="26.25" customHeight="1">
      <c r="A599" s="9"/>
    </row>
    <row r="600" ht="26.25" customHeight="1">
      <c r="A600" s="9"/>
    </row>
    <row r="601" ht="26.25" customHeight="1">
      <c r="A601" s="9"/>
    </row>
    <row r="602" ht="26.25" customHeight="1">
      <c r="A602" s="9"/>
    </row>
    <row r="603" ht="26.25" customHeight="1">
      <c r="A603" s="9"/>
    </row>
    <row r="604" ht="26.25" customHeight="1">
      <c r="A604" s="9"/>
    </row>
    <row r="605" ht="26.25" customHeight="1">
      <c r="A605" s="9"/>
    </row>
    <row r="606" ht="26.25" customHeight="1">
      <c r="A606" s="9"/>
    </row>
    <row r="607" ht="26.25" customHeight="1">
      <c r="A607" s="9"/>
    </row>
    <row r="608" ht="26.25" customHeight="1">
      <c r="A608" s="9"/>
    </row>
    <row r="609" ht="26.25" customHeight="1">
      <c r="A609" s="9"/>
    </row>
    <row r="610" ht="26.25" customHeight="1">
      <c r="A610" s="9"/>
    </row>
    <row r="611" ht="26.25" customHeight="1">
      <c r="A611" s="9"/>
    </row>
    <row r="612" ht="26.25" customHeight="1">
      <c r="A612" s="9"/>
    </row>
    <row r="613" ht="26.25" customHeight="1">
      <c r="A613" s="9"/>
    </row>
    <row r="614" ht="26.25" customHeight="1">
      <c r="A614" s="9"/>
    </row>
    <row r="615" ht="26.25" customHeight="1">
      <c r="A615" s="9"/>
    </row>
    <row r="616" ht="26.25" customHeight="1">
      <c r="A616" s="9"/>
    </row>
    <row r="617" ht="26.25" customHeight="1">
      <c r="A617" s="9"/>
    </row>
    <row r="618" ht="26.25" customHeight="1">
      <c r="A618" s="9"/>
    </row>
    <row r="619" ht="26.25" customHeight="1">
      <c r="A619" s="9"/>
    </row>
    <row r="620" ht="26.25" customHeight="1">
      <c r="A620" s="9"/>
    </row>
    <row r="621" ht="26.25" customHeight="1">
      <c r="A621" s="9"/>
    </row>
    <row r="622" ht="26.25" customHeight="1">
      <c r="A622" s="9"/>
    </row>
    <row r="623" ht="26.25" customHeight="1">
      <c r="A623" s="9"/>
    </row>
    <row r="624" ht="26.25" customHeight="1">
      <c r="A624" s="9"/>
    </row>
    <row r="625" ht="26.25" customHeight="1">
      <c r="A625" s="9"/>
    </row>
    <row r="626" ht="26.25" customHeight="1">
      <c r="A626" s="9"/>
    </row>
    <row r="627" ht="26.25" customHeight="1">
      <c r="A627" s="9"/>
    </row>
    <row r="628" ht="26.25" customHeight="1">
      <c r="A628" s="9"/>
    </row>
    <row r="629" ht="26.25" customHeight="1">
      <c r="A629" s="9"/>
    </row>
    <row r="630" ht="26.25" customHeight="1">
      <c r="A630" s="9"/>
    </row>
    <row r="631" ht="26.25" customHeight="1">
      <c r="A631" s="9"/>
    </row>
    <row r="632" ht="26.25" customHeight="1">
      <c r="A632" s="9"/>
    </row>
    <row r="633" ht="26.25" customHeight="1">
      <c r="A633" s="9"/>
    </row>
    <row r="634" ht="26.25" customHeight="1">
      <c r="A634" s="9"/>
    </row>
    <row r="635" ht="26.25" customHeight="1">
      <c r="A635" s="9"/>
    </row>
    <row r="636" ht="26.25" customHeight="1">
      <c r="A636" s="9"/>
    </row>
    <row r="637" ht="26.25" customHeight="1">
      <c r="A637" s="9"/>
    </row>
    <row r="638" ht="26.25" customHeight="1">
      <c r="A638" s="9"/>
    </row>
    <row r="639" ht="26.25" customHeight="1">
      <c r="A639" s="9"/>
    </row>
    <row r="640" ht="26.25" customHeight="1">
      <c r="A640" s="9"/>
    </row>
    <row r="641" ht="26.25" customHeight="1">
      <c r="A641" s="9"/>
    </row>
    <row r="642" ht="26.25" customHeight="1">
      <c r="A642" s="9"/>
    </row>
    <row r="643" ht="26.25" customHeight="1">
      <c r="A643" s="9"/>
    </row>
    <row r="644" ht="26.25" customHeight="1">
      <c r="A644" s="9"/>
    </row>
    <row r="645" ht="26.25" customHeight="1">
      <c r="A645" s="9"/>
    </row>
    <row r="646" ht="26.25" customHeight="1">
      <c r="A646" s="9"/>
    </row>
    <row r="647" ht="26.25" customHeight="1">
      <c r="A647" s="9"/>
    </row>
    <row r="648" ht="26.25" customHeight="1">
      <c r="A648" s="9"/>
    </row>
    <row r="649" ht="26.25" customHeight="1">
      <c r="A649" s="9"/>
    </row>
    <row r="650" ht="26.25" customHeight="1">
      <c r="A650" s="9"/>
    </row>
    <row r="651" ht="26.25" customHeight="1">
      <c r="A651" s="9"/>
    </row>
    <row r="652" ht="26.25" customHeight="1">
      <c r="A652" s="9"/>
    </row>
    <row r="653" ht="26.25" customHeight="1">
      <c r="A653" s="9"/>
    </row>
    <row r="654" ht="26.25" customHeight="1">
      <c r="A654" s="9"/>
    </row>
    <row r="655" ht="26.25" customHeight="1">
      <c r="A655" s="9"/>
    </row>
    <row r="656" ht="26.25" customHeight="1">
      <c r="A656" s="9"/>
    </row>
    <row r="657" ht="26.25" customHeight="1">
      <c r="A657" s="9"/>
    </row>
    <row r="658" ht="26.25" customHeight="1">
      <c r="A658" s="9"/>
    </row>
    <row r="659" ht="26.25" customHeight="1">
      <c r="A659" s="9"/>
    </row>
    <row r="660" ht="26.25" customHeight="1">
      <c r="A660" s="9"/>
    </row>
    <row r="661" ht="26.25" customHeight="1">
      <c r="A661" s="9"/>
    </row>
    <row r="662" ht="26.25" customHeight="1">
      <c r="A662" s="9"/>
    </row>
    <row r="663" ht="26.25" customHeight="1">
      <c r="A663" s="9"/>
    </row>
    <row r="664" ht="26.25" customHeight="1">
      <c r="A664" s="9"/>
    </row>
    <row r="665" ht="26.25" customHeight="1">
      <c r="A665" s="9"/>
    </row>
    <row r="666" ht="26.25" customHeight="1">
      <c r="A666" s="9"/>
    </row>
    <row r="667" ht="26.25" customHeight="1">
      <c r="A667" s="9"/>
    </row>
    <row r="668" ht="26.25" customHeight="1">
      <c r="A668" s="9"/>
    </row>
    <row r="669" ht="26.25" customHeight="1">
      <c r="A669" s="9"/>
    </row>
    <row r="670" ht="26.25" customHeight="1">
      <c r="A670" s="9"/>
    </row>
    <row r="671" ht="26.25" customHeight="1">
      <c r="A671" s="9"/>
    </row>
    <row r="672" ht="26.25" customHeight="1">
      <c r="A672" s="9"/>
    </row>
    <row r="673" ht="26.25" customHeight="1">
      <c r="A673" s="9"/>
    </row>
    <row r="674" ht="26.25" customHeight="1">
      <c r="A674" s="9"/>
    </row>
    <row r="675" ht="26.25" customHeight="1">
      <c r="A675" s="9"/>
    </row>
    <row r="676" ht="26.25" customHeight="1">
      <c r="A676" s="9"/>
    </row>
    <row r="677" ht="26.25" customHeight="1">
      <c r="A677" s="9"/>
    </row>
    <row r="678" ht="26.25" customHeight="1">
      <c r="A678" s="9"/>
    </row>
    <row r="679" ht="26.25" customHeight="1">
      <c r="A679" s="9"/>
    </row>
    <row r="680" ht="26.25" customHeight="1">
      <c r="A680" s="9"/>
    </row>
    <row r="681" ht="26.25" customHeight="1">
      <c r="A681" s="9"/>
    </row>
    <row r="682" ht="26.25" customHeight="1">
      <c r="A682" s="9"/>
    </row>
    <row r="683" ht="26.25" customHeight="1">
      <c r="A683" s="9"/>
    </row>
    <row r="684" ht="26.25" customHeight="1">
      <c r="A684" s="9"/>
    </row>
    <row r="685" ht="26.25" customHeight="1">
      <c r="A685" s="9"/>
    </row>
    <row r="686" ht="26.25" customHeight="1">
      <c r="A686" s="9"/>
    </row>
    <row r="687" ht="26.25" customHeight="1">
      <c r="A687" s="9"/>
    </row>
    <row r="688" ht="26.25" customHeight="1">
      <c r="A688" s="9"/>
    </row>
    <row r="689" ht="26.25" customHeight="1">
      <c r="A689" s="9"/>
    </row>
    <row r="690" ht="26.25" customHeight="1">
      <c r="A690" s="9"/>
    </row>
    <row r="691" ht="26.25" customHeight="1">
      <c r="A691" s="9"/>
    </row>
    <row r="692" ht="26.25" customHeight="1">
      <c r="A692" s="9"/>
    </row>
    <row r="693" ht="26.25" customHeight="1">
      <c r="A693" s="9"/>
    </row>
    <row r="694" ht="26.25" customHeight="1">
      <c r="A694" s="9"/>
    </row>
    <row r="695" ht="26.25" customHeight="1">
      <c r="A695" s="9"/>
    </row>
    <row r="696" ht="26.25" customHeight="1">
      <c r="A696" s="9"/>
    </row>
    <row r="697" ht="26.25" customHeight="1">
      <c r="A697" s="9"/>
    </row>
    <row r="698" ht="26.25" customHeight="1">
      <c r="A698" s="9"/>
    </row>
    <row r="699" ht="26.25" customHeight="1">
      <c r="A699" s="9"/>
    </row>
    <row r="700" ht="26.25" customHeight="1">
      <c r="A700" s="9"/>
    </row>
    <row r="701" ht="26.25" customHeight="1">
      <c r="A701" s="9"/>
    </row>
    <row r="702" ht="26.25" customHeight="1">
      <c r="A702" s="9"/>
    </row>
    <row r="703" ht="26.25" customHeight="1">
      <c r="A703" s="9"/>
    </row>
    <row r="704" ht="26.25" customHeight="1">
      <c r="A704" s="9"/>
    </row>
    <row r="705" ht="26.25" customHeight="1">
      <c r="A705" s="9"/>
    </row>
    <row r="706" ht="26.25" customHeight="1">
      <c r="A706" s="9"/>
    </row>
    <row r="707" ht="26.25" customHeight="1">
      <c r="A707" s="9"/>
    </row>
    <row r="708" ht="26.25" customHeight="1">
      <c r="A708" s="9"/>
    </row>
    <row r="709" ht="26.25" customHeight="1">
      <c r="A709" s="9"/>
    </row>
    <row r="710" ht="26.25" customHeight="1">
      <c r="A710" s="9"/>
    </row>
    <row r="711" ht="26.25" customHeight="1">
      <c r="A711" s="9"/>
    </row>
    <row r="712" ht="26.25" customHeight="1">
      <c r="A712" s="9"/>
    </row>
    <row r="713" ht="26.25" customHeight="1">
      <c r="A713" s="9"/>
    </row>
    <row r="714" ht="26.25" customHeight="1">
      <c r="A714" s="9"/>
    </row>
    <row r="715" ht="26.25" customHeight="1">
      <c r="A715" s="9"/>
    </row>
    <row r="716" ht="26.25" customHeight="1">
      <c r="A716" s="9"/>
    </row>
    <row r="717" ht="26.25" customHeight="1">
      <c r="A717" s="9"/>
    </row>
    <row r="718" ht="26.25" customHeight="1">
      <c r="A718" s="9"/>
    </row>
    <row r="719" ht="26.25" customHeight="1">
      <c r="A719" s="9"/>
    </row>
    <row r="720" ht="26.25" customHeight="1">
      <c r="A720" s="9"/>
    </row>
    <row r="721" ht="26.25" customHeight="1">
      <c r="A721" s="9"/>
    </row>
    <row r="722" ht="26.25" customHeight="1">
      <c r="A722" s="9"/>
    </row>
    <row r="723" ht="26.25" customHeight="1">
      <c r="A723" s="9"/>
    </row>
    <row r="724" ht="26.25" customHeight="1">
      <c r="A724" s="9"/>
    </row>
    <row r="725" ht="26.25" customHeight="1">
      <c r="A725" s="9"/>
    </row>
    <row r="726" ht="26.25" customHeight="1">
      <c r="A726" s="9"/>
    </row>
    <row r="727" ht="26.25" customHeight="1">
      <c r="A727" s="9"/>
    </row>
    <row r="728" ht="26.25" customHeight="1">
      <c r="A728" s="9"/>
    </row>
    <row r="729" ht="26.25" customHeight="1">
      <c r="A729" s="9"/>
    </row>
    <row r="730" ht="26.25" customHeight="1">
      <c r="A730" s="9"/>
    </row>
    <row r="731" ht="26.25" customHeight="1">
      <c r="A731" s="9"/>
    </row>
    <row r="732" ht="26.25" customHeight="1">
      <c r="A732" s="9"/>
    </row>
    <row r="733" ht="26.25" customHeight="1">
      <c r="A733" s="9"/>
    </row>
    <row r="734" ht="26.25" customHeight="1">
      <c r="A734" s="9"/>
    </row>
    <row r="735" ht="26.25" customHeight="1">
      <c r="A735" s="9"/>
    </row>
    <row r="736" ht="26.25" customHeight="1">
      <c r="A736" s="9"/>
    </row>
    <row r="737" ht="26.25" customHeight="1">
      <c r="A737" s="9"/>
    </row>
    <row r="738" ht="26.25" customHeight="1">
      <c r="A738" s="9"/>
    </row>
    <row r="739" ht="26.25" customHeight="1">
      <c r="A739" s="9"/>
    </row>
    <row r="740" ht="26.25" customHeight="1">
      <c r="A740" s="9"/>
    </row>
    <row r="741" ht="26.25" customHeight="1">
      <c r="A741" s="9"/>
    </row>
    <row r="742" ht="26.25" customHeight="1">
      <c r="A742" s="9"/>
    </row>
    <row r="743" ht="26.25" customHeight="1">
      <c r="A743" s="9"/>
    </row>
    <row r="744" ht="26.25" customHeight="1">
      <c r="A744" s="9"/>
    </row>
    <row r="745" ht="26.25" customHeight="1">
      <c r="A745" s="9"/>
    </row>
    <row r="746" ht="26.25" customHeight="1">
      <c r="A746" s="9"/>
    </row>
    <row r="747" ht="26.25" customHeight="1">
      <c r="A747" s="9"/>
    </row>
    <row r="748" ht="26.25" customHeight="1">
      <c r="A748" s="9"/>
    </row>
    <row r="749" ht="26.25" customHeight="1">
      <c r="A749" s="9"/>
    </row>
    <row r="750" ht="26.25" customHeight="1">
      <c r="A750" s="9"/>
    </row>
    <row r="751" ht="26.25" customHeight="1">
      <c r="A751" s="9"/>
    </row>
    <row r="752" ht="26.25" customHeight="1">
      <c r="A752" s="9"/>
    </row>
    <row r="753" ht="26.25" customHeight="1">
      <c r="A753" s="9"/>
    </row>
    <row r="754" ht="26.25" customHeight="1">
      <c r="A754" s="9"/>
    </row>
    <row r="755" ht="26.25" customHeight="1">
      <c r="A755" s="9"/>
    </row>
    <row r="756" ht="26.25" customHeight="1">
      <c r="A756" s="9"/>
    </row>
    <row r="757" ht="26.25" customHeight="1">
      <c r="A757" s="9"/>
    </row>
    <row r="758" ht="26.25" customHeight="1">
      <c r="A758" s="9"/>
    </row>
    <row r="759" ht="26.25" customHeight="1">
      <c r="A759" s="9"/>
    </row>
    <row r="760" ht="26.25" customHeight="1">
      <c r="A760" s="9"/>
    </row>
    <row r="761" ht="26.25" customHeight="1">
      <c r="A761" s="9"/>
    </row>
    <row r="762" ht="26.25" customHeight="1">
      <c r="A762" s="9"/>
    </row>
    <row r="763" ht="26.25" customHeight="1">
      <c r="A763" s="9"/>
    </row>
    <row r="764" ht="26.25" customHeight="1">
      <c r="A764" s="9"/>
    </row>
    <row r="765" ht="26.25" customHeight="1">
      <c r="A765" s="9"/>
    </row>
    <row r="766" ht="26.25" customHeight="1">
      <c r="A766" s="9"/>
    </row>
    <row r="767" ht="26.25" customHeight="1">
      <c r="A767" s="9"/>
    </row>
    <row r="768" ht="26.25" customHeight="1">
      <c r="A768" s="9"/>
    </row>
    <row r="769" ht="26.25" customHeight="1">
      <c r="A769" s="9"/>
    </row>
    <row r="770" ht="26.25" customHeight="1">
      <c r="A770" s="9"/>
    </row>
    <row r="771" ht="26.25" customHeight="1">
      <c r="A771" s="9"/>
    </row>
    <row r="772" ht="26.25" customHeight="1">
      <c r="A772" s="9"/>
    </row>
    <row r="773" ht="26.25" customHeight="1">
      <c r="A773" s="9"/>
    </row>
    <row r="774" ht="26.25" customHeight="1">
      <c r="A774" s="9"/>
    </row>
    <row r="775" ht="26.25" customHeight="1">
      <c r="A775" s="9"/>
    </row>
    <row r="776" ht="26.25" customHeight="1">
      <c r="A776" s="9"/>
    </row>
    <row r="777" ht="26.25" customHeight="1">
      <c r="A777" s="9"/>
    </row>
    <row r="778" ht="26.25" customHeight="1">
      <c r="A778" s="9"/>
    </row>
    <row r="779" ht="26.25" customHeight="1">
      <c r="A779" s="9"/>
    </row>
    <row r="780" ht="26.25" customHeight="1">
      <c r="A780" s="9"/>
    </row>
    <row r="781" ht="26.25" customHeight="1">
      <c r="A781" s="9"/>
    </row>
    <row r="782" ht="26.25" customHeight="1">
      <c r="A782" s="9"/>
    </row>
    <row r="783" ht="26.25" customHeight="1">
      <c r="A783" s="9"/>
    </row>
    <row r="784" ht="26.25" customHeight="1">
      <c r="A784" s="9"/>
    </row>
    <row r="785" ht="26.25" customHeight="1">
      <c r="A785" s="9"/>
    </row>
    <row r="786" ht="26.25" customHeight="1">
      <c r="A786" s="9"/>
    </row>
    <row r="787" ht="26.25" customHeight="1">
      <c r="A787" s="9"/>
    </row>
    <row r="788" ht="26.25" customHeight="1">
      <c r="A788" s="9"/>
    </row>
    <row r="789" ht="26.25" customHeight="1">
      <c r="A789" s="9"/>
    </row>
    <row r="790" ht="26.25" customHeight="1">
      <c r="A790" s="9"/>
    </row>
    <row r="791" ht="26.25" customHeight="1">
      <c r="A791" s="9"/>
    </row>
    <row r="792" ht="26.25" customHeight="1">
      <c r="A792" s="9"/>
    </row>
    <row r="793" ht="26.25" customHeight="1">
      <c r="A793" s="9"/>
    </row>
    <row r="794" ht="26.25" customHeight="1">
      <c r="A794" s="9"/>
    </row>
    <row r="795" ht="26.25" customHeight="1">
      <c r="A795" s="9"/>
    </row>
    <row r="796" ht="26.25" customHeight="1">
      <c r="A796" s="9"/>
    </row>
    <row r="797" ht="26.25" customHeight="1">
      <c r="A797" s="9"/>
    </row>
    <row r="798" ht="26.25" customHeight="1">
      <c r="A798" s="9"/>
    </row>
    <row r="799" ht="26.25" customHeight="1">
      <c r="A799" s="9"/>
    </row>
    <row r="800" ht="26.25" customHeight="1">
      <c r="A800" s="9"/>
    </row>
    <row r="801" ht="26.25" customHeight="1">
      <c r="A801" s="9"/>
    </row>
    <row r="802" ht="26.25" customHeight="1">
      <c r="A802" s="9"/>
    </row>
    <row r="803" ht="26.25" customHeight="1">
      <c r="A803" s="9"/>
    </row>
    <row r="804" ht="26.25" customHeight="1">
      <c r="A804" s="9"/>
    </row>
    <row r="805" ht="26.25" customHeight="1">
      <c r="A805" s="9"/>
    </row>
    <row r="806" ht="26.25" customHeight="1">
      <c r="A806" s="9"/>
    </row>
    <row r="807" ht="26.25" customHeight="1">
      <c r="A807" s="9"/>
    </row>
    <row r="808" ht="26.25" customHeight="1">
      <c r="A808" s="9"/>
    </row>
    <row r="809" ht="26.25" customHeight="1">
      <c r="A809" s="9"/>
    </row>
    <row r="810" ht="26.25" customHeight="1">
      <c r="A810" s="9"/>
    </row>
    <row r="811" ht="26.25" customHeight="1">
      <c r="A811" s="9"/>
    </row>
    <row r="812" ht="26.25" customHeight="1">
      <c r="A812" s="9"/>
    </row>
    <row r="813" ht="26.25" customHeight="1">
      <c r="A813" s="9"/>
    </row>
    <row r="814" ht="26.25" customHeight="1">
      <c r="A814" s="9"/>
    </row>
    <row r="815" ht="26.25" customHeight="1">
      <c r="A815" s="9"/>
    </row>
    <row r="816" ht="26.25" customHeight="1">
      <c r="A816" s="9"/>
    </row>
    <row r="817" ht="26.25" customHeight="1">
      <c r="A817" s="9"/>
    </row>
    <row r="818" ht="26.25" customHeight="1">
      <c r="A818" s="9"/>
    </row>
    <row r="819" ht="26.25" customHeight="1">
      <c r="A819" s="9"/>
    </row>
    <row r="820" ht="26.25" customHeight="1">
      <c r="A820" s="9"/>
    </row>
    <row r="821" ht="26.25" customHeight="1">
      <c r="A821" s="9"/>
    </row>
    <row r="822" ht="26.25" customHeight="1">
      <c r="A822" s="9"/>
    </row>
    <row r="823" ht="26.25" customHeight="1">
      <c r="A823" s="9"/>
    </row>
    <row r="824" ht="26.25" customHeight="1">
      <c r="A824" s="9"/>
    </row>
    <row r="825" ht="26.25" customHeight="1">
      <c r="A825" s="9"/>
    </row>
    <row r="826" ht="26.25" customHeight="1">
      <c r="A826" s="9"/>
    </row>
    <row r="827" ht="26.25" customHeight="1">
      <c r="A827" s="9"/>
    </row>
    <row r="828" ht="26.25" customHeight="1">
      <c r="A828" s="9"/>
    </row>
    <row r="829" ht="26.25" customHeight="1">
      <c r="A829" s="9"/>
    </row>
    <row r="830" ht="26.25" customHeight="1">
      <c r="A830" s="9"/>
    </row>
    <row r="831" ht="26.25" customHeight="1">
      <c r="A831" s="9"/>
    </row>
    <row r="832" ht="26.25" customHeight="1">
      <c r="A832" s="9"/>
    </row>
    <row r="833" ht="26.25" customHeight="1">
      <c r="A833" s="9"/>
    </row>
    <row r="834" ht="26.25" customHeight="1">
      <c r="A834" s="9"/>
    </row>
    <row r="835" ht="26.25" customHeight="1">
      <c r="A835" s="9"/>
    </row>
    <row r="836" ht="26.25" customHeight="1">
      <c r="A836" s="9"/>
    </row>
    <row r="837" ht="26.25" customHeight="1">
      <c r="A837" s="9"/>
    </row>
    <row r="838" ht="26.25" customHeight="1">
      <c r="A838" s="9"/>
    </row>
    <row r="839" ht="26.25" customHeight="1">
      <c r="A839" s="9"/>
    </row>
    <row r="840" ht="26.25" customHeight="1">
      <c r="A840" s="9"/>
    </row>
    <row r="841" ht="26.25" customHeight="1">
      <c r="A841" s="9"/>
    </row>
    <row r="842" ht="26.25" customHeight="1">
      <c r="A842" s="9"/>
    </row>
    <row r="843" ht="26.25" customHeight="1">
      <c r="A843" s="9"/>
    </row>
    <row r="844" ht="26.25" customHeight="1">
      <c r="A844" s="9"/>
    </row>
    <row r="845" ht="26.25" customHeight="1">
      <c r="A845" s="9"/>
    </row>
    <row r="846" ht="26.25" customHeight="1">
      <c r="A846" s="9"/>
    </row>
    <row r="847" ht="26.25" customHeight="1">
      <c r="A847" s="9"/>
    </row>
    <row r="848" ht="26.25" customHeight="1">
      <c r="A848" s="9"/>
    </row>
    <row r="849" ht="26.25" customHeight="1">
      <c r="A849" s="9"/>
    </row>
    <row r="850" ht="26.25" customHeight="1">
      <c r="A850" s="9"/>
    </row>
    <row r="851" ht="26.25" customHeight="1">
      <c r="A851" s="9"/>
    </row>
    <row r="852" ht="26.25" customHeight="1">
      <c r="A852" s="9"/>
    </row>
    <row r="853" ht="26.25" customHeight="1">
      <c r="A853" s="9"/>
    </row>
    <row r="854" ht="26.25" customHeight="1">
      <c r="A854" s="9"/>
    </row>
    <row r="855" ht="26.25" customHeight="1">
      <c r="A855" s="9"/>
    </row>
    <row r="856" ht="26.25" customHeight="1">
      <c r="A856" s="9"/>
    </row>
    <row r="857" ht="26.25" customHeight="1">
      <c r="A857" s="9"/>
    </row>
    <row r="858" ht="26.25" customHeight="1">
      <c r="A858" s="9"/>
    </row>
    <row r="859" ht="26.25" customHeight="1">
      <c r="A859" s="9"/>
    </row>
    <row r="860" ht="26.25" customHeight="1">
      <c r="A860" s="9"/>
    </row>
    <row r="861" ht="26.25" customHeight="1">
      <c r="A861" s="9"/>
    </row>
    <row r="862" ht="26.25" customHeight="1">
      <c r="A862" s="9"/>
    </row>
    <row r="863" ht="26.25" customHeight="1">
      <c r="A863" s="9"/>
    </row>
    <row r="864" ht="26.25" customHeight="1">
      <c r="A864" s="9"/>
    </row>
    <row r="865" ht="26.25" customHeight="1">
      <c r="A865" s="9"/>
    </row>
    <row r="866" ht="26.25" customHeight="1">
      <c r="A866" s="9"/>
    </row>
    <row r="867" ht="26.25" customHeight="1">
      <c r="A867" s="9"/>
    </row>
    <row r="868" ht="26.25" customHeight="1">
      <c r="A868" s="9"/>
    </row>
    <row r="869" ht="26.25" customHeight="1">
      <c r="A869" s="9"/>
    </row>
    <row r="870" ht="26.25" customHeight="1">
      <c r="A870" s="9"/>
    </row>
    <row r="871" ht="26.25" customHeight="1">
      <c r="A871" s="9"/>
    </row>
    <row r="872" ht="26.25" customHeight="1">
      <c r="A872" s="9"/>
    </row>
    <row r="873" ht="26.25" customHeight="1">
      <c r="A873" s="9"/>
    </row>
    <row r="874" ht="26.25" customHeight="1">
      <c r="A874" s="9"/>
    </row>
    <row r="875" ht="26.25" customHeight="1">
      <c r="A875" s="9"/>
    </row>
    <row r="876" ht="26.25" customHeight="1">
      <c r="A876" s="9"/>
    </row>
    <row r="877" ht="26.25" customHeight="1">
      <c r="A877" s="9"/>
    </row>
    <row r="878" ht="26.25" customHeight="1">
      <c r="A878" s="9"/>
    </row>
    <row r="879" ht="26.25" customHeight="1">
      <c r="A879" s="9"/>
    </row>
    <row r="880" ht="26.25" customHeight="1">
      <c r="A880" s="9"/>
    </row>
    <row r="881" ht="26.25" customHeight="1">
      <c r="A881" s="9"/>
    </row>
    <row r="882" ht="26.25" customHeight="1">
      <c r="A882" s="9"/>
    </row>
    <row r="883" ht="26.25" customHeight="1">
      <c r="A883" s="9"/>
    </row>
    <row r="884" ht="26.25" customHeight="1">
      <c r="A884" s="9"/>
    </row>
    <row r="885" ht="26.25" customHeight="1">
      <c r="A885" s="9"/>
    </row>
    <row r="886" ht="26.25" customHeight="1">
      <c r="A886" s="9"/>
    </row>
    <row r="887" ht="26.25" customHeight="1">
      <c r="A887" s="9"/>
    </row>
    <row r="888" ht="26.25" customHeight="1">
      <c r="A888" s="9"/>
    </row>
    <row r="889" ht="26.25" customHeight="1">
      <c r="A889" s="9"/>
    </row>
    <row r="890" ht="26.25" customHeight="1">
      <c r="A890" s="9"/>
    </row>
    <row r="891" ht="26.25" customHeight="1">
      <c r="A891" s="9"/>
    </row>
    <row r="892" ht="26.25" customHeight="1">
      <c r="A892" s="9"/>
    </row>
    <row r="893" ht="26.25" customHeight="1">
      <c r="A893" s="9"/>
    </row>
    <row r="894" ht="26.25" customHeight="1">
      <c r="A894" s="9"/>
    </row>
    <row r="895" ht="26.25" customHeight="1">
      <c r="A895" s="9"/>
    </row>
    <row r="896" ht="26.25" customHeight="1">
      <c r="A896" s="9"/>
    </row>
    <row r="897" ht="26.25" customHeight="1">
      <c r="A897" s="9"/>
    </row>
    <row r="898" ht="26.25" customHeight="1">
      <c r="A898" s="9"/>
    </row>
    <row r="899" ht="26.25" customHeight="1">
      <c r="A899" s="9"/>
    </row>
    <row r="900" ht="26.25" customHeight="1">
      <c r="A900" s="9"/>
    </row>
    <row r="901" ht="26.25" customHeight="1">
      <c r="A901" s="9"/>
    </row>
    <row r="902" ht="26.25" customHeight="1">
      <c r="A902" s="9"/>
    </row>
    <row r="903" ht="26.25" customHeight="1">
      <c r="A903" s="9"/>
    </row>
    <row r="904" ht="26.25" customHeight="1">
      <c r="A904" s="9"/>
    </row>
    <row r="905" ht="26.25" customHeight="1">
      <c r="A905" s="9"/>
    </row>
    <row r="906" ht="26.25" customHeight="1">
      <c r="A906" s="9"/>
    </row>
    <row r="907" ht="26.25" customHeight="1">
      <c r="A907" s="9"/>
    </row>
    <row r="908" ht="26.25" customHeight="1">
      <c r="A908" s="9"/>
    </row>
    <row r="909" ht="26.25" customHeight="1">
      <c r="A909" s="9"/>
    </row>
    <row r="910" ht="26.25" customHeight="1">
      <c r="A910" s="9"/>
    </row>
    <row r="911" ht="26.25" customHeight="1">
      <c r="A911" s="9"/>
    </row>
    <row r="912" ht="26.25" customHeight="1">
      <c r="A912" s="9"/>
    </row>
    <row r="913" ht="26.25" customHeight="1">
      <c r="A913" s="9"/>
    </row>
    <row r="914" ht="26.25" customHeight="1">
      <c r="A914" s="9"/>
    </row>
    <row r="915" ht="26.25" customHeight="1">
      <c r="A915" s="9"/>
    </row>
    <row r="916" ht="26.25" customHeight="1">
      <c r="A916" s="9"/>
    </row>
    <row r="917" ht="26.25" customHeight="1">
      <c r="A917" s="9"/>
    </row>
    <row r="918" ht="26.25" customHeight="1">
      <c r="A918" s="9"/>
    </row>
    <row r="919" ht="26.25" customHeight="1">
      <c r="A919" s="9"/>
    </row>
    <row r="920" ht="26.25" customHeight="1">
      <c r="A920" s="9"/>
    </row>
    <row r="921" ht="26.25" customHeight="1">
      <c r="A921" s="9"/>
    </row>
    <row r="922" ht="26.25" customHeight="1">
      <c r="A922" s="9"/>
    </row>
    <row r="923" ht="26.25" customHeight="1">
      <c r="A923" s="9"/>
    </row>
    <row r="924" ht="26.25" customHeight="1">
      <c r="A924" s="9"/>
    </row>
    <row r="925" ht="26.25" customHeight="1">
      <c r="A925" s="9"/>
    </row>
    <row r="926" ht="26.25" customHeight="1">
      <c r="A926" s="9"/>
    </row>
    <row r="927" ht="26.25" customHeight="1">
      <c r="A927" s="9"/>
    </row>
    <row r="928" ht="26.25" customHeight="1">
      <c r="A928" s="9"/>
    </row>
    <row r="929" ht="26.25" customHeight="1">
      <c r="A929" s="9"/>
    </row>
    <row r="930" ht="26.25" customHeight="1">
      <c r="A930" s="9"/>
    </row>
    <row r="931" ht="26.25" customHeight="1">
      <c r="A931" s="9"/>
    </row>
    <row r="932" ht="26.25" customHeight="1">
      <c r="A932" s="9"/>
    </row>
    <row r="933" ht="26.25" customHeight="1">
      <c r="A933" s="9"/>
    </row>
    <row r="934" ht="26.25" customHeight="1">
      <c r="A934" s="9"/>
    </row>
    <row r="935" ht="26.25" customHeight="1">
      <c r="A935" s="9"/>
    </row>
    <row r="936" ht="26.25" customHeight="1">
      <c r="A936" s="9"/>
    </row>
    <row r="937" ht="26.25" customHeight="1">
      <c r="A937" s="9"/>
    </row>
    <row r="938" ht="26.25" customHeight="1">
      <c r="A938" s="9"/>
    </row>
    <row r="939" ht="26.25" customHeight="1">
      <c r="A939" s="9"/>
    </row>
    <row r="940" ht="26.25" customHeight="1">
      <c r="A940" s="9"/>
    </row>
    <row r="941" ht="26.25" customHeight="1">
      <c r="A941" s="9"/>
    </row>
    <row r="942" ht="26.25" customHeight="1">
      <c r="A942" s="9"/>
    </row>
    <row r="943" ht="26.25" customHeight="1">
      <c r="A943" s="9"/>
    </row>
    <row r="944" ht="26.25" customHeight="1">
      <c r="A944" s="9"/>
    </row>
    <row r="945" ht="26.25" customHeight="1">
      <c r="A945" s="9"/>
    </row>
    <row r="946" ht="26.25" customHeight="1">
      <c r="A946" s="9"/>
    </row>
    <row r="947" ht="26.25" customHeight="1">
      <c r="A947" s="9"/>
    </row>
    <row r="948" ht="26.25" customHeight="1">
      <c r="A948" s="9"/>
    </row>
    <row r="949" ht="26.25" customHeight="1">
      <c r="A949" s="9"/>
    </row>
    <row r="950" ht="26.25" customHeight="1">
      <c r="A950" s="9"/>
    </row>
    <row r="951" ht="26.25" customHeight="1">
      <c r="A951" s="9"/>
    </row>
    <row r="952" ht="26.25" customHeight="1">
      <c r="A952" s="9"/>
    </row>
    <row r="953" ht="26.25" customHeight="1">
      <c r="A953" s="9"/>
    </row>
    <row r="954" ht="26.25" customHeight="1">
      <c r="A954" s="9"/>
    </row>
    <row r="955" ht="26.25" customHeight="1">
      <c r="A955" s="9"/>
    </row>
    <row r="956" ht="26.25" customHeight="1">
      <c r="A956" s="9"/>
    </row>
    <row r="957" ht="26.25" customHeight="1">
      <c r="A957" s="9"/>
    </row>
    <row r="958" ht="26.25" customHeight="1">
      <c r="A958" s="9"/>
    </row>
    <row r="959" ht="26.25" customHeight="1">
      <c r="A959" s="9"/>
    </row>
    <row r="960" ht="26.25" customHeight="1">
      <c r="A960" s="9"/>
    </row>
    <row r="961" ht="26.25" customHeight="1">
      <c r="A961" s="9"/>
    </row>
    <row r="962" ht="26.25" customHeight="1">
      <c r="A962" s="9"/>
    </row>
    <row r="963" ht="26.25" customHeight="1">
      <c r="A963" s="9"/>
    </row>
    <row r="964" ht="26.25" customHeight="1">
      <c r="A964" s="9"/>
    </row>
    <row r="965" ht="26.25" customHeight="1">
      <c r="A965" s="9"/>
    </row>
    <row r="966" ht="26.25" customHeight="1">
      <c r="A966" s="9"/>
    </row>
    <row r="967" ht="26.25" customHeight="1">
      <c r="A967" s="9"/>
    </row>
    <row r="968" ht="26.25" customHeight="1">
      <c r="A968" s="9"/>
    </row>
    <row r="969" ht="26.25" customHeight="1">
      <c r="A969" s="9"/>
    </row>
    <row r="970" ht="26.25" customHeight="1">
      <c r="A970" s="9"/>
    </row>
    <row r="971" ht="26.25" customHeight="1">
      <c r="A971" s="9"/>
    </row>
    <row r="972" ht="26.25" customHeight="1">
      <c r="A972" s="9"/>
    </row>
    <row r="973" ht="26.25" customHeight="1">
      <c r="A973" s="9"/>
    </row>
    <row r="974" ht="26.25" customHeight="1">
      <c r="A974" s="9"/>
    </row>
    <row r="975" ht="26.25" customHeight="1">
      <c r="A975" s="9"/>
    </row>
    <row r="976" ht="26.25" customHeight="1">
      <c r="A976" s="9"/>
    </row>
    <row r="977" ht="26.25" customHeight="1">
      <c r="A977" s="9"/>
    </row>
    <row r="978" ht="26.25" customHeight="1">
      <c r="A978" s="9"/>
    </row>
    <row r="979" ht="26.25" customHeight="1">
      <c r="A979" s="9"/>
    </row>
    <row r="980" ht="26.25" customHeight="1">
      <c r="A980" s="9"/>
    </row>
    <row r="981" ht="26.25" customHeight="1">
      <c r="A981" s="9"/>
    </row>
    <row r="982" ht="26.25" customHeight="1">
      <c r="A982" s="9"/>
    </row>
    <row r="983" ht="26.25" customHeight="1">
      <c r="A983" s="9"/>
    </row>
    <row r="984" ht="26.25" customHeight="1">
      <c r="A984" s="9"/>
    </row>
    <row r="985" ht="26.25" customHeight="1">
      <c r="A985" s="9"/>
    </row>
    <row r="986" ht="26.25" customHeight="1">
      <c r="A986" s="9"/>
    </row>
    <row r="987" ht="26.25" customHeight="1">
      <c r="A987" s="9"/>
    </row>
    <row r="988" ht="26.25" customHeight="1">
      <c r="A988" s="9"/>
    </row>
    <row r="989" ht="26.25" customHeight="1">
      <c r="A989" s="9"/>
    </row>
    <row r="990" ht="26.25" customHeight="1">
      <c r="A990" s="9"/>
    </row>
    <row r="991" ht="26.25" customHeight="1">
      <c r="A991" s="9"/>
    </row>
    <row r="992" ht="26.25" customHeight="1">
      <c r="A992" s="9"/>
    </row>
    <row r="993" ht="26.25" customHeight="1">
      <c r="A993" s="9"/>
    </row>
    <row r="994" ht="26.25" customHeight="1">
      <c r="A994" s="9"/>
    </row>
    <row r="995" ht="26.25" customHeight="1">
      <c r="A995" s="9"/>
    </row>
    <row r="996" ht="26.25" customHeight="1">
      <c r="A996" s="9"/>
    </row>
    <row r="997" ht="26.25" customHeight="1">
      <c r="A997" s="9"/>
    </row>
    <row r="998" ht="26.25" customHeight="1">
      <c r="A998" s="9"/>
    </row>
    <row r="999" ht="26.25" customHeight="1">
      <c r="A999" s="9"/>
    </row>
    <row r="1000" ht="26.25" customHeight="1">
      <c r="A1000" s="9"/>
    </row>
  </sheetData>
  <mergeCells count="1">
    <mergeCell ref="A1:A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.38"/>
    <col customWidth="1" min="3" max="3" width="11.0"/>
    <col customWidth="1" min="4" max="4" width="24.0"/>
    <col customWidth="1" min="5" max="5" width="7.0"/>
    <col customWidth="1" min="6" max="10" width="3.75"/>
    <col customWidth="1" min="11" max="11" width="13.75"/>
    <col customWidth="1" min="12" max="12" width="16.13"/>
    <col customWidth="1" min="13" max="13" width="16.63"/>
    <col customWidth="1" min="14" max="14" width="22.0"/>
    <col customWidth="1" min="15" max="26" width="15.63"/>
  </cols>
  <sheetData>
    <row r="1" ht="103.5" customHeight="1">
      <c r="A1" s="10" t="s">
        <v>9</v>
      </c>
      <c r="B1" s="11" t="s">
        <v>0</v>
      </c>
      <c r="C1" s="11" t="s">
        <v>1</v>
      </c>
      <c r="D1" s="11" t="s">
        <v>2</v>
      </c>
      <c r="E1" s="12" t="s">
        <v>3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11" t="s">
        <v>57</v>
      </c>
      <c r="L1" s="5" t="s">
        <v>58</v>
      </c>
      <c r="M1" s="5" t="s">
        <v>59</v>
      </c>
      <c r="N1" s="5" t="s">
        <v>60</v>
      </c>
    </row>
    <row r="2" ht="26.25" customHeight="1">
      <c r="A2" s="6"/>
      <c r="B2" s="2" t="str">
        <f>IFERROR(__xludf.DUMMYFUNCTION("FILTER(StudendEnroll!A2:D27,StudendEnroll!D2:D27=A1)"),"Elvis")</f>
        <v>Elvis</v>
      </c>
      <c r="C2" s="2" t="str">
        <f>IFERROR(__xludf.DUMMYFUNCTION("""COMPUTED_VALUE"""),"Bond")</f>
        <v>Bond</v>
      </c>
      <c r="D2" s="2" t="str">
        <f>IFERROR(__xludf.DUMMYFUNCTION("""COMPUTED_VALUE"""),"ElvisBond@gmail.com")</f>
        <v>ElvisBond@gmail.com</v>
      </c>
      <c r="E2" s="2" t="str">
        <f>IFERROR(__xludf.DUMMYFUNCTION("""COMPUTED_VALUE"""),"Maths1")</f>
        <v>Maths1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7">
        <f t="shared" ref="K2:K16" si="1">COUNTIF(F2:J2,"P")/COUNTA(F2:J2)</f>
        <v>1</v>
      </c>
      <c r="L2" s="2">
        <v>96.0</v>
      </c>
      <c r="M2" s="2">
        <v>88.0</v>
      </c>
      <c r="N2" s="2" t="s">
        <v>63</v>
      </c>
    </row>
    <row r="3" ht="26.25" customHeight="1">
      <c r="A3" s="6"/>
      <c r="B3" s="2" t="str">
        <f>IFERROR(__xludf.DUMMYFUNCTION("""COMPUTED_VALUE"""),"Mary")</f>
        <v>Mary</v>
      </c>
      <c r="C3" s="2" t="str">
        <f>IFERROR(__xludf.DUMMYFUNCTION("""COMPUTED_VALUE"""),"Gas")</f>
        <v>Gas</v>
      </c>
      <c r="D3" s="2" t="str">
        <f>IFERROR(__xludf.DUMMYFUNCTION("""COMPUTED_VALUE"""),"MaryGas@gmail.com")</f>
        <v>MaryGas@gmail.com</v>
      </c>
      <c r="E3" s="2" t="str">
        <f>IFERROR(__xludf.DUMMYFUNCTION("""COMPUTED_VALUE"""),"Maths1")</f>
        <v>Maths1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7">
        <f t="shared" si="1"/>
        <v>1</v>
      </c>
      <c r="L3" s="2">
        <v>55.0</v>
      </c>
      <c r="M3" s="2">
        <v>66.0</v>
      </c>
      <c r="N3" s="2" t="s">
        <v>64</v>
      </c>
    </row>
    <row r="4" ht="26.25" customHeight="1">
      <c r="A4" s="6"/>
      <c r="B4" s="2" t="str">
        <f>IFERROR(__xludf.DUMMYFUNCTION("""COMPUTED_VALUE"""),"Robert")</f>
        <v>Robert</v>
      </c>
      <c r="C4" s="2" t="str">
        <f>IFERROR(__xludf.DUMMYFUNCTION("""COMPUTED_VALUE"""),"Hus")</f>
        <v>Hus</v>
      </c>
      <c r="D4" s="2" t="str">
        <f>IFERROR(__xludf.DUMMYFUNCTION("""COMPUTED_VALUE"""),"RobertHus@gmail.com")</f>
        <v>RobertHus@gmail.com</v>
      </c>
      <c r="E4" s="2" t="str">
        <f>IFERROR(__xludf.DUMMYFUNCTION("""COMPUTED_VALUE"""),"Maths1")</f>
        <v>Maths1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7">
        <f t="shared" si="1"/>
        <v>1</v>
      </c>
      <c r="L4" s="2">
        <v>81.0</v>
      </c>
      <c r="M4" s="2">
        <v>99.0</v>
      </c>
      <c r="N4" s="2" t="s">
        <v>63</v>
      </c>
    </row>
    <row r="5" ht="26.25" customHeight="1">
      <c r="A5" s="6"/>
      <c r="B5" s="2" t="str">
        <f>IFERROR(__xludf.DUMMYFUNCTION("""COMPUTED_VALUE"""),"Omar")</f>
        <v>Omar</v>
      </c>
      <c r="C5" s="2" t="str">
        <f>IFERROR(__xludf.DUMMYFUNCTION("""COMPUTED_VALUE"""),"Kasim")</f>
        <v>Kasim</v>
      </c>
      <c r="D5" s="2" t="str">
        <f>IFERROR(__xludf.DUMMYFUNCTION("""COMPUTED_VALUE"""),"OmarKasim@gmail.com")</f>
        <v>OmarKasim@gmail.com</v>
      </c>
      <c r="E5" s="2" t="str">
        <f>IFERROR(__xludf.DUMMYFUNCTION("""COMPUTED_VALUE"""),"Maths1")</f>
        <v>Maths1</v>
      </c>
      <c r="F5" s="2" t="s">
        <v>62</v>
      </c>
      <c r="G5" s="2" t="s">
        <v>62</v>
      </c>
      <c r="H5" s="2" t="s">
        <v>62</v>
      </c>
      <c r="I5" s="2" t="s">
        <v>61</v>
      </c>
      <c r="J5" s="2" t="s">
        <v>61</v>
      </c>
      <c r="K5" s="7">
        <f t="shared" si="1"/>
        <v>0.4</v>
      </c>
      <c r="L5" s="2">
        <v>77.0</v>
      </c>
      <c r="M5" s="2">
        <v>87.0</v>
      </c>
      <c r="N5" s="2" t="s">
        <v>63</v>
      </c>
    </row>
    <row r="6" ht="26.25" customHeight="1">
      <c r="A6" s="6"/>
      <c r="B6" s="2" t="str">
        <f>IFERROR(__xludf.DUMMYFUNCTION("""COMPUTED_VALUE"""),"Denis")</f>
        <v>Denis</v>
      </c>
      <c r="C6" s="2" t="str">
        <f>IFERROR(__xludf.DUMMYFUNCTION("""COMPUTED_VALUE"""),"Rodman")</f>
        <v>Rodman</v>
      </c>
      <c r="D6" s="2" t="str">
        <f>IFERROR(__xludf.DUMMYFUNCTION("""COMPUTED_VALUE"""),"DenisRodman@gmail.com")</f>
        <v>DenisRodman@gmail.com</v>
      </c>
      <c r="E6" s="2" t="str">
        <f>IFERROR(__xludf.DUMMYFUNCTION("""COMPUTED_VALUE"""),"Maths1")</f>
        <v>Maths1</v>
      </c>
      <c r="F6" s="2" t="s">
        <v>61</v>
      </c>
      <c r="G6" s="2" t="s">
        <v>61</v>
      </c>
      <c r="H6" s="2" t="s">
        <v>61</v>
      </c>
      <c r="I6" s="2" t="s">
        <v>62</v>
      </c>
      <c r="J6" s="2" t="s">
        <v>61</v>
      </c>
      <c r="K6" s="7">
        <f t="shared" si="1"/>
        <v>0.8</v>
      </c>
      <c r="L6" s="2">
        <v>80.0</v>
      </c>
      <c r="M6" s="2">
        <v>78.0</v>
      </c>
      <c r="N6" s="2" t="s">
        <v>63</v>
      </c>
    </row>
    <row r="7" ht="26.25" customHeight="1">
      <c r="A7" s="6"/>
      <c r="B7" s="2" t="str">
        <f>IFERROR(__xludf.DUMMYFUNCTION("""COMPUTED_VALUE"""),"John")</f>
        <v>John</v>
      </c>
      <c r="C7" s="2" t="str">
        <f>IFERROR(__xludf.DUMMYFUNCTION("""COMPUTED_VALUE"""),"Baderas")</f>
        <v>Baderas</v>
      </c>
      <c r="D7" s="2" t="str">
        <f>IFERROR(__xludf.DUMMYFUNCTION("""COMPUTED_VALUE"""),"JohnBaderas@gmail.com")</f>
        <v>JohnBaderas@gmail.com</v>
      </c>
      <c r="E7" s="2" t="str">
        <f>IFERROR(__xludf.DUMMYFUNCTION("""COMPUTED_VALUE"""),"Maths1")</f>
        <v>Maths1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62</v>
      </c>
      <c r="K7" s="7">
        <f t="shared" si="1"/>
        <v>0.8</v>
      </c>
      <c r="L7" s="2">
        <v>60.0</v>
      </c>
      <c r="M7" s="2">
        <v>94.0</v>
      </c>
      <c r="N7" s="2" t="s">
        <v>63</v>
      </c>
    </row>
    <row r="8" ht="26.25" customHeight="1">
      <c r="A8" s="6"/>
      <c r="B8" s="2" t="str">
        <f>IFERROR(__xludf.DUMMYFUNCTION("""COMPUTED_VALUE"""),"Ronald")</f>
        <v>Ronald</v>
      </c>
      <c r="C8" s="2" t="str">
        <f>IFERROR(__xludf.DUMMYFUNCTION("""COMPUTED_VALUE"""),"Connan")</f>
        <v>Connan</v>
      </c>
      <c r="D8" s="2" t="str">
        <f>IFERROR(__xludf.DUMMYFUNCTION("""COMPUTED_VALUE"""),"RonaldConnan@gmail.com")</f>
        <v>RonaldConnan@gmail.com</v>
      </c>
      <c r="E8" s="2" t="str">
        <f>IFERROR(__xludf.DUMMYFUNCTION("""COMPUTED_VALUE"""),"Maths1")</f>
        <v>Maths1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61</v>
      </c>
      <c r="K8" s="7">
        <f t="shared" si="1"/>
        <v>0.2</v>
      </c>
      <c r="L8" s="2">
        <v>92.0</v>
      </c>
      <c r="M8" s="2">
        <v>79.0</v>
      </c>
      <c r="N8" s="2" t="s">
        <v>63</v>
      </c>
    </row>
    <row r="9" ht="26.25" customHeight="1">
      <c r="A9" s="6"/>
      <c r="B9" s="2" t="str">
        <f>IFERROR(__xludf.DUMMYFUNCTION("""COMPUTED_VALUE"""),"Dennis")</f>
        <v>Dennis</v>
      </c>
      <c r="C9" s="2" t="str">
        <f>IFERROR(__xludf.DUMMYFUNCTION("""COMPUTED_VALUE"""),"Menace")</f>
        <v>Menace</v>
      </c>
      <c r="D9" s="2" t="str">
        <f>IFERROR(__xludf.DUMMYFUNCTION("""COMPUTED_VALUE"""),"DennisMenace@gmail.com")</f>
        <v>DennisMenace@gmail.com</v>
      </c>
      <c r="E9" s="2" t="str">
        <f>IFERROR(__xludf.DUMMYFUNCTION("""COMPUTED_VALUE"""),"Maths1")</f>
        <v>Maths1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7">
        <f t="shared" si="1"/>
        <v>1</v>
      </c>
      <c r="L9" s="2">
        <v>73.0</v>
      </c>
      <c r="M9" s="2">
        <v>99.0</v>
      </c>
      <c r="N9" s="2" t="s">
        <v>63</v>
      </c>
    </row>
    <row r="10" ht="26.25" customHeight="1">
      <c r="A10" s="6"/>
      <c r="B10" s="2" t="str">
        <f>IFERROR(__xludf.DUMMYFUNCTION("""COMPUTED_VALUE"""),"Ronald")</f>
        <v>Ronald</v>
      </c>
      <c r="C10" s="2" t="str">
        <f>IFERROR(__xludf.DUMMYFUNCTION("""COMPUTED_VALUE"""),"Pape")</f>
        <v>Pape</v>
      </c>
      <c r="D10" s="2" t="str">
        <f>IFERROR(__xludf.DUMMYFUNCTION("""COMPUTED_VALUE"""),"RonaldPape@gmail.com")</f>
        <v>RonaldPape@gmail.com</v>
      </c>
      <c r="E10" s="2" t="str">
        <f>IFERROR(__xludf.DUMMYFUNCTION("""COMPUTED_VALUE"""),"Maths1")</f>
        <v>Maths1</v>
      </c>
      <c r="F10" s="2" t="s">
        <v>62</v>
      </c>
      <c r="G10" s="2" t="s">
        <v>61</v>
      </c>
      <c r="H10" s="2" t="s">
        <v>61</v>
      </c>
      <c r="I10" s="2" t="s">
        <v>61</v>
      </c>
      <c r="J10" s="2" t="s">
        <v>62</v>
      </c>
      <c r="K10" s="7">
        <f t="shared" si="1"/>
        <v>0.6</v>
      </c>
      <c r="L10" s="2">
        <v>84.0</v>
      </c>
      <c r="M10" s="2">
        <v>68.0</v>
      </c>
      <c r="N10" s="2" t="s">
        <v>63</v>
      </c>
    </row>
    <row r="11" ht="26.25" customHeight="1">
      <c r="A11" s="6"/>
      <c r="B11" s="2" t="str">
        <f>IFERROR(__xludf.DUMMYFUNCTION("""COMPUTED_VALUE"""),"Walid")</f>
        <v>Walid</v>
      </c>
      <c r="C11" s="2" t="str">
        <f>IFERROR(__xludf.DUMMYFUNCTION("""COMPUTED_VALUE"""),"Matip")</f>
        <v>Matip</v>
      </c>
      <c r="D11" s="2" t="str">
        <f>IFERROR(__xludf.DUMMYFUNCTION("""COMPUTED_VALUE"""),"WalidMatip@gmail.com")</f>
        <v>WalidMatip@gmail.com</v>
      </c>
      <c r="E11" s="2" t="str">
        <f>IFERROR(__xludf.DUMMYFUNCTION("""COMPUTED_VALUE"""),"Maths1")</f>
        <v>Maths1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7">
        <f t="shared" si="1"/>
        <v>1</v>
      </c>
      <c r="L11" s="2">
        <v>88.0</v>
      </c>
      <c r="M11" s="2">
        <v>80.0</v>
      </c>
      <c r="N11" s="2" t="s">
        <v>63</v>
      </c>
    </row>
    <row r="12" ht="26.25" customHeight="1">
      <c r="A12" s="6"/>
      <c r="B12" s="2" t="str">
        <f>IFERROR(__xludf.DUMMYFUNCTION("""COMPUTED_VALUE"""),"Donna")</f>
        <v>Donna</v>
      </c>
      <c r="C12" s="2" t="str">
        <f>IFERROR(__xludf.DUMMYFUNCTION("""COMPUTED_VALUE"""),"Corleone")</f>
        <v>Corleone</v>
      </c>
      <c r="D12" s="2" t="str">
        <f>IFERROR(__xludf.DUMMYFUNCTION("""COMPUTED_VALUE"""),"DonnaCorleone@gmail.com")</f>
        <v>DonnaCorleone@gmail.com</v>
      </c>
      <c r="E12" s="2" t="str">
        <f>IFERROR(__xludf.DUMMYFUNCTION("""COMPUTED_VALUE"""),"Maths1")</f>
        <v>Maths1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62</v>
      </c>
      <c r="K12" s="7">
        <f t="shared" si="1"/>
        <v>0.8</v>
      </c>
      <c r="L12" s="2">
        <v>96.0</v>
      </c>
      <c r="M12" s="2">
        <v>90.0</v>
      </c>
      <c r="N12" s="2" t="s">
        <v>63</v>
      </c>
    </row>
    <row r="13" ht="26.25" customHeight="1">
      <c r="A13" s="6"/>
      <c r="B13" s="2" t="str">
        <f>IFERROR(__xludf.DUMMYFUNCTION("""COMPUTED_VALUE"""),"Mary")</f>
        <v>Mary</v>
      </c>
      <c r="C13" s="2" t="str">
        <f>IFERROR(__xludf.DUMMYFUNCTION("""COMPUTED_VALUE"""),"Connan")</f>
        <v>Connan</v>
      </c>
      <c r="D13" s="2" t="str">
        <f>IFERROR(__xludf.DUMMYFUNCTION("""COMPUTED_VALUE"""),"MaryConnan@gmail.com")</f>
        <v>MaryConnan@gmail.com</v>
      </c>
      <c r="E13" s="2" t="str">
        <f>IFERROR(__xludf.DUMMYFUNCTION("""COMPUTED_VALUE"""),"Maths1")</f>
        <v>Maths1</v>
      </c>
      <c r="F13" s="2" t="s">
        <v>61</v>
      </c>
      <c r="G13" s="2" t="s">
        <v>62</v>
      </c>
      <c r="H13" s="2" t="s">
        <v>61</v>
      </c>
      <c r="I13" s="2" t="s">
        <v>62</v>
      </c>
      <c r="J13" s="2" t="s">
        <v>61</v>
      </c>
      <c r="K13" s="7">
        <f t="shared" si="1"/>
        <v>0.6</v>
      </c>
      <c r="L13" s="2">
        <v>100.0</v>
      </c>
      <c r="M13" s="2">
        <v>91.0</v>
      </c>
      <c r="N13" s="2" t="s">
        <v>63</v>
      </c>
    </row>
    <row r="14" ht="26.25" customHeight="1">
      <c r="A14" s="6"/>
      <c r="B14" s="2" t="str">
        <f>IFERROR(__xludf.DUMMYFUNCTION("""COMPUTED_VALUE"""),"Dustin")</f>
        <v>Dustin</v>
      </c>
      <c r="C14" s="2" t="str">
        <f>IFERROR(__xludf.DUMMYFUNCTION("""COMPUTED_VALUE"""),"Boier")</f>
        <v>Boier</v>
      </c>
      <c r="D14" s="2" t="str">
        <f>IFERROR(__xludf.DUMMYFUNCTION("""COMPUTED_VALUE"""),"DustinBoier@gmail.com")</f>
        <v>DustinBoier@gmail.com</v>
      </c>
      <c r="E14" s="2" t="str">
        <f>IFERROR(__xludf.DUMMYFUNCTION("""COMPUTED_VALUE"""),"Maths1")</f>
        <v>Maths1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7">
        <f t="shared" si="1"/>
        <v>0</v>
      </c>
      <c r="L14" s="2">
        <v>83.0</v>
      </c>
      <c r="M14" s="2">
        <v>89.0</v>
      </c>
      <c r="N14" s="2" t="s">
        <v>63</v>
      </c>
    </row>
    <row r="15" ht="26.25" customHeight="1">
      <c r="A15" s="6"/>
      <c r="B15" s="2" t="str">
        <f>IFERROR(__xludf.DUMMYFUNCTION("""COMPUTED_VALUE"""),"Lana")</f>
        <v>Lana</v>
      </c>
      <c r="C15" s="2" t="str">
        <f>IFERROR(__xludf.DUMMYFUNCTION("""COMPUTED_VALUE"""),"Andie")</f>
        <v>Andie</v>
      </c>
      <c r="D15" s="2" t="str">
        <f>IFERROR(__xludf.DUMMYFUNCTION("""COMPUTED_VALUE"""),"LanaAndie@gmail.com")</f>
        <v>LanaAndie@gmail.com</v>
      </c>
      <c r="E15" s="2" t="str">
        <f>IFERROR(__xludf.DUMMYFUNCTION("""COMPUTED_VALUE"""),"Maths1")</f>
        <v>Maths1</v>
      </c>
      <c r="F15" s="2" t="s">
        <v>61</v>
      </c>
      <c r="G15" s="2" t="s">
        <v>61</v>
      </c>
      <c r="H15" s="2" t="s">
        <v>62</v>
      </c>
      <c r="I15" s="2" t="s">
        <v>61</v>
      </c>
      <c r="J15" s="2" t="s">
        <v>61</v>
      </c>
      <c r="K15" s="7">
        <f t="shared" si="1"/>
        <v>0.8</v>
      </c>
      <c r="L15" s="2">
        <v>97.0</v>
      </c>
      <c r="M15" s="2">
        <v>100.0</v>
      </c>
      <c r="N15" s="2" t="s">
        <v>63</v>
      </c>
    </row>
    <row r="16" ht="26.25" customHeight="1">
      <c r="A16" s="8"/>
      <c r="B16" s="2" t="str">
        <f>IFERROR(__xludf.DUMMYFUNCTION("""COMPUTED_VALUE"""),"Andres")</f>
        <v>Andres</v>
      </c>
      <c r="C16" s="2" t="str">
        <f>IFERROR(__xludf.DUMMYFUNCTION("""COMPUTED_VALUE"""),"Iniesti")</f>
        <v>Iniesti</v>
      </c>
      <c r="D16" s="2" t="str">
        <f>IFERROR(__xludf.DUMMYFUNCTION("""COMPUTED_VALUE"""),"AndresIniesti@gmail.com")</f>
        <v>AndresIniesti@gmail.com</v>
      </c>
      <c r="E16" s="2" t="str">
        <f>IFERROR(__xludf.DUMMYFUNCTION("""COMPUTED_VALUE"""),"Maths1")</f>
        <v>Maths1</v>
      </c>
      <c r="F16" s="2" t="s">
        <v>61</v>
      </c>
      <c r="G16" s="2" t="s">
        <v>62</v>
      </c>
      <c r="H16" s="2" t="s">
        <v>62</v>
      </c>
      <c r="I16" s="2" t="s">
        <v>61</v>
      </c>
      <c r="J16" s="2" t="s">
        <v>61</v>
      </c>
      <c r="K16" s="7">
        <f t="shared" si="1"/>
        <v>0.6</v>
      </c>
      <c r="L16" s="2">
        <v>90.0</v>
      </c>
      <c r="M16" s="2">
        <v>87.0</v>
      </c>
      <c r="N16" s="2" t="s">
        <v>63</v>
      </c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mergeCells count="1">
    <mergeCell ref="A1:A16"/>
  </mergeCells>
  <conditionalFormatting sqref="L16:N16">
    <cfRule type="expression" dxfId="0" priority="1">
      <formula>$I16:$I41="Fail"</formula>
    </cfRule>
  </conditionalFormatting>
  <conditionalFormatting sqref="L7:M15">
    <cfRule type="expression" dxfId="0" priority="2">
      <formula>$I7:$I32="Fail"</formula>
    </cfRule>
  </conditionalFormatting>
  <conditionalFormatting sqref="L6:M6">
    <cfRule type="expression" dxfId="0" priority="3">
      <formula>$I6:$I31="Fail"</formula>
    </cfRule>
  </conditionalFormatting>
  <conditionalFormatting sqref="L4:M5">
    <cfRule type="expression" dxfId="0" priority="4">
      <formula>$I4:$I29="Fail"</formula>
    </cfRule>
  </conditionalFormatting>
  <conditionalFormatting sqref="L2:M3">
    <cfRule type="expression" dxfId="0" priority="5">
      <formula>$I2:$I27="Fail"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75"/>
    <col customWidth="1" min="3" max="3" width="21.63"/>
    <col customWidth="1" min="4" max="4" width="25.5"/>
    <col customWidth="1" min="5" max="5" width="15.75"/>
    <col customWidth="1" min="6" max="6" width="13.0"/>
    <col customWidth="1" min="7" max="7" width="24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5" t="s">
        <v>58</v>
      </c>
      <c r="F1" s="5" t="s">
        <v>59</v>
      </c>
      <c r="G1" s="5" t="s">
        <v>60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tr">
        <f>StudendEnroll!A3</f>
        <v>Elvis</v>
      </c>
      <c r="B2" s="2" t="str">
        <f>StudendEnroll!B3</f>
        <v>Bond</v>
      </c>
      <c r="C2" s="2" t="str">
        <f>StudendEnroll!C3</f>
        <v>ElvisBond@gmail.com</v>
      </c>
      <c r="D2" s="2" t="str">
        <f>StudendEnroll!D3</f>
        <v>Maths1</v>
      </c>
      <c r="E2" s="2">
        <f t="array" ref="E2:G2">XLOOKUP(C2,Maths1.DailyAttendance!D2:D16,Maths1.DailyAttendance!L2:N16)</f>
        <v>96</v>
      </c>
      <c r="F2" s="2">
        <v>88.0</v>
      </c>
      <c r="G2" s="2" t="s">
        <v>63</v>
      </c>
    </row>
    <row r="3">
      <c r="A3" s="2" t="str">
        <f>StudendEnroll!A4</f>
        <v>Mary</v>
      </c>
      <c r="B3" s="2" t="str">
        <f>StudendEnroll!B4</f>
        <v>Gas</v>
      </c>
      <c r="C3" s="2" t="str">
        <f>StudendEnroll!C4</f>
        <v>MaryGas@gmail.com</v>
      </c>
      <c r="D3" s="2" t="str">
        <f>StudendEnroll!D4</f>
        <v>Maths1</v>
      </c>
      <c r="E3" s="2">
        <f t="array" ref="E3:G3">XLOOKUP(C3,Maths1.DailyAttendance!D3:D17,Maths1.DailyAttendance!L3:N17)</f>
        <v>55</v>
      </c>
      <c r="F3" s="2">
        <v>66.0</v>
      </c>
      <c r="G3" s="2" t="s">
        <v>64</v>
      </c>
    </row>
    <row r="4">
      <c r="A4" s="2" t="str">
        <f>StudendEnroll!A6</f>
        <v>Robert</v>
      </c>
      <c r="B4" s="2" t="str">
        <f>StudendEnroll!B6</f>
        <v>Hus</v>
      </c>
      <c r="C4" s="2" t="str">
        <f>StudendEnroll!C6</f>
        <v>RobertHus@gmail.com</v>
      </c>
      <c r="D4" s="2" t="str">
        <f>StudendEnroll!D6</f>
        <v>Maths1</v>
      </c>
      <c r="E4" s="2">
        <f t="array" ref="E4:G4">XLOOKUP(C4,Maths1.DailyAttendance!D4:D18,Maths1.DailyAttendance!L4:N18)</f>
        <v>81</v>
      </c>
      <c r="F4" s="2">
        <v>99.0</v>
      </c>
      <c r="G4" s="2" t="s">
        <v>63</v>
      </c>
    </row>
    <row r="5">
      <c r="A5" s="2" t="str">
        <f>StudendEnroll!A7</f>
        <v>Omar</v>
      </c>
      <c r="B5" s="2" t="str">
        <f>StudendEnroll!B7</f>
        <v>Kasim</v>
      </c>
      <c r="C5" s="2" t="str">
        <f>StudendEnroll!C7</f>
        <v>OmarKasim@gmail.com</v>
      </c>
      <c r="D5" s="2" t="str">
        <f>StudendEnroll!D7</f>
        <v>Maths1</v>
      </c>
      <c r="E5" s="2">
        <f t="array" ref="E5:G5">XLOOKUP(C5,Maths1.DailyAttendance!D5:D19,Maths1.DailyAttendance!L5:N19)</f>
        <v>77</v>
      </c>
      <c r="F5" s="2">
        <v>87.0</v>
      </c>
      <c r="G5" s="2" t="s">
        <v>63</v>
      </c>
    </row>
    <row r="6">
      <c r="A6" s="2" t="str">
        <f>StudendEnroll!A9</f>
        <v>Denis</v>
      </c>
      <c r="B6" s="2" t="str">
        <f>StudendEnroll!B9</f>
        <v>Rodman</v>
      </c>
      <c r="C6" s="2" t="str">
        <f>StudendEnroll!C9</f>
        <v>DenisRodman@gmail.com</v>
      </c>
      <c r="D6" s="2" t="str">
        <f>StudendEnroll!D9</f>
        <v>Maths1</v>
      </c>
      <c r="E6" s="2">
        <f t="array" ref="E6:G6">XLOOKUP(C6,Maths1.DailyAttendance!D6:D20,Maths1.DailyAttendance!L6:N20)</f>
        <v>80</v>
      </c>
      <c r="F6" s="2">
        <v>78.0</v>
      </c>
      <c r="G6" s="2" t="s">
        <v>63</v>
      </c>
    </row>
    <row r="7">
      <c r="A7" s="2" t="str">
        <f>StudendEnroll!A16</f>
        <v>John</v>
      </c>
      <c r="B7" s="2" t="str">
        <f>StudendEnroll!B16</f>
        <v>Baderas</v>
      </c>
      <c r="C7" s="2" t="str">
        <f>StudendEnroll!C16</f>
        <v>JohnBaderas@gmail.com</v>
      </c>
      <c r="D7" s="2" t="str">
        <f>StudendEnroll!D16</f>
        <v>Maths1</v>
      </c>
      <c r="E7" s="2">
        <f t="array" ref="E7:G7">XLOOKUP(C7,Maths1.DailyAttendance!D7:D21,Maths1.DailyAttendance!L7:N21)</f>
        <v>60</v>
      </c>
      <c r="F7" s="2">
        <v>94.0</v>
      </c>
      <c r="G7" s="2" t="s">
        <v>63</v>
      </c>
    </row>
    <row r="8">
      <c r="A8" s="2" t="str">
        <f>StudendEnroll!A17</f>
        <v>Ronald</v>
      </c>
      <c r="B8" s="2" t="str">
        <f>StudendEnroll!B17</f>
        <v>Connan</v>
      </c>
      <c r="C8" s="2" t="str">
        <f>StudendEnroll!C17</f>
        <v>RonaldConnan@gmail.com</v>
      </c>
      <c r="D8" s="2" t="str">
        <f>StudendEnroll!D17</f>
        <v>Maths1</v>
      </c>
      <c r="E8" s="2">
        <f t="array" ref="E8:G8">XLOOKUP(C8,Maths1.DailyAttendance!D8:D22,Maths1.DailyAttendance!L8:N22)</f>
        <v>92</v>
      </c>
      <c r="F8" s="2">
        <v>79.0</v>
      </c>
      <c r="G8" s="2" t="s">
        <v>63</v>
      </c>
    </row>
    <row r="9">
      <c r="A9" s="2" t="str">
        <f>StudendEnroll!A18</f>
        <v>Dennis</v>
      </c>
      <c r="B9" s="2" t="str">
        <f>StudendEnroll!B18</f>
        <v>Menace</v>
      </c>
      <c r="C9" s="2" t="str">
        <f>StudendEnroll!C18</f>
        <v>DennisMenace@gmail.com</v>
      </c>
      <c r="D9" s="2" t="str">
        <f>StudendEnroll!D18</f>
        <v>Maths1</v>
      </c>
      <c r="E9" s="2">
        <f t="array" ref="E9:G9">XLOOKUP(C9,Maths1.DailyAttendance!D9:D23,Maths1.DailyAttendance!L9:N23)</f>
        <v>73</v>
      </c>
      <c r="F9" s="2">
        <v>99.0</v>
      </c>
      <c r="G9" s="2" t="s">
        <v>63</v>
      </c>
    </row>
    <row r="10">
      <c r="A10" s="2" t="str">
        <f>StudendEnroll!A19</f>
        <v>Ronald</v>
      </c>
      <c r="B10" s="2" t="str">
        <f>StudendEnroll!B19</f>
        <v>Pape</v>
      </c>
      <c r="C10" s="2" t="str">
        <f>StudendEnroll!C19</f>
        <v>RonaldPape@gmail.com</v>
      </c>
      <c r="D10" s="2" t="str">
        <f>StudendEnroll!D19</f>
        <v>Maths1</v>
      </c>
      <c r="E10" s="2">
        <f t="array" ref="E10:G10">XLOOKUP(C10,Maths1.DailyAttendance!D10:D24,Maths1.DailyAttendance!L10:N24)</f>
        <v>84</v>
      </c>
      <c r="F10" s="2">
        <v>68.0</v>
      </c>
      <c r="G10" s="2" t="s">
        <v>63</v>
      </c>
    </row>
    <row r="11">
      <c r="A11" s="2" t="str">
        <f>StudendEnroll!A20</f>
        <v>Walid</v>
      </c>
      <c r="B11" s="2" t="str">
        <f>StudendEnroll!B20</f>
        <v>Matip</v>
      </c>
      <c r="C11" s="2" t="str">
        <f>StudendEnroll!C20</f>
        <v>WalidMatip@gmail.com</v>
      </c>
      <c r="D11" s="2" t="str">
        <f>StudendEnroll!D20</f>
        <v>Maths1</v>
      </c>
      <c r="E11" s="2">
        <f t="array" ref="E11:G11">XLOOKUP(C11,Maths1.DailyAttendance!D11:D25,Maths1.DailyAttendance!L11:N25)</f>
        <v>88</v>
      </c>
      <c r="F11" s="2">
        <v>80.0</v>
      </c>
      <c r="G11" s="2" t="s">
        <v>63</v>
      </c>
    </row>
    <row r="12">
      <c r="A12" s="2" t="str">
        <f>StudendEnroll!A21</f>
        <v>Donna</v>
      </c>
      <c r="B12" s="2" t="str">
        <f>StudendEnroll!B21</f>
        <v>Corleone</v>
      </c>
      <c r="C12" s="2" t="str">
        <f>StudendEnroll!C21</f>
        <v>DonnaCorleone@gmail.com</v>
      </c>
      <c r="D12" s="2" t="str">
        <f>StudendEnroll!D21</f>
        <v>Maths1</v>
      </c>
      <c r="E12" s="2">
        <f t="array" ref="E12:G12">XLOOKUP(C12,Maths1.DailyAttendance!D12:D26,Maths1.DailyAttendance!L12:N26)</f>
        <v>96</v>
      </c>
      <c r="F12" s="2">
        <v>90.0</v>
      </c>
      <c r="G12" s="2" t="s">
        <v>63</v>
      </c>
    </row>
    <row r="13">
      <c r="A13" s="2" t="str">
        <f>StudendEnroll!A22</f>
        <v>Mary</v>
      </c>
      <c r="B13" s="2" t="str">
        <f>StudendEnroll!B22</f>
        <v>Connan</v>
      </c>
      <c r="C13" s="2" t="str">
        <f>StudendEnroll!C22</f>
        <v>MaryConnan@gmail.com</v>
      </c>
      <c r="D13" s="2" t="str">
        <f>StudendEnroll!D22</f>
        <v>Maths1</v>
      </c>
      <c r="E13" s="2">
        <f t="array" ref="E13:G13">XLOOKUP(C13,Maths1.DailyAttendance!D13:D27,Maths1.DailyAttendance!L13:N27)</f>
        <v>100</v>
      </c>
      <c r="F13" s="2">
        <v>91.0</v>
      </c>
      <c r="G13" s="2" t="s">
        <v>63</v>
      </c>
    </row>
    <row r="14">
      <c r="A14" s="2" t="str">
        <f>StudendEnroll!A23</f>
        <v>Dustin</v>
      </c>
      <c r="B14" s="2" t="str">
        <f>StudendEnroll!B23</f>
        <v>Boier</v>
      </c>
      <c r="C14" s="2" t="str">
        <f>StudendEnroll!C23</f>
        <v>DustinBoier@gmail.com</v>
      </c>
      <c r="D14" s="2" t="str">
        <f>StudendEnroll!D23</f>
        <v>Maths1</v>
      </c>
      <c r="E14" s="2">
        <f t="array" ref="E14:G14">XLOOKUP(C14,Maths1.DailyAttendance!D14:D28,Maths1.DailyAttendance!L14:N28)</f>
        <v>83</v>
      </c>
      <c r="F14" s="2">
        <v>89.0</v>
      </c>
      <c r="G14" s="2" t="s">
        <v>63</v>
      </c>
    </row>
    <row r="15">
      <c r="A15" s="2" t="str">
        <f>StudendEnroll!A24</f>
        <v>Lana</v>
      </c>
      <c r="B15" s="2" t="str">
        <f>StudendEnroll!B24</f>
        <v>Andie</v>
      </c>
      <c r="C15" s="2" t="str">
        <f>StudendEnroll!C24</f>
        <v>LanaAndie@gmail.com</v>
      </c>
      <c r="D15" s="2" t="str">
        <f>StudendEnroll!D24</f>
        <v>Maths1</v>
      </c>
      <c r="E15" s="2">
        <f t="array" ref="E15:G15">XLOOKUP(C15,Maths1.DailyAttendance!D15:D29,Maths1.DailyAttendance!L15:N29)</f>
        <v>97</v>
      </c>
      <c r="F15" s="2">
        <v>100.0</v>
      </c>
      <c r="G15" s="2" t="s">
        <v>63</v>
      </c>
    </row>
    <row r="16">
      <c r="A16" s="2" t="str">
        <f>StudendEnroll!A27</f>
        <v>Andres</v>
      </c>
      <c r="B16" s="2" t="str">
        <f>StudendEnroll!B27</f>
        <v>Iniesti</v>
      </c>
      <c r="C16" s="2" t="str">
        <f>StudendEnroll!C27</f>
        <v>AndresIniesti@gmail.com</v>
      </c>
      <c r="D16" s="2" t="str">
        <f>StudendEnroll!D27</f>
        <v>Maths1</v>
      </c>
      <c r="E16" s="2">
        <f t="array" ref="E16:G16">XLOOKUP(C16,Maths1.DailyAttendance!D16:D30,Maths1.DailyAttendance!L16:N30)</f>
        <v>90</v>
      </c>
      <c r="F16" s="2">
        <v>87.0</v>
      </c>
      <c r="G16" s="2" t="s">
        <v>63</v>
      </c>
    </row>
    <row r="17">
      <c r="A17" s="2" t="str">
        <f>StudendEnroll!A2</f>
        <v>John</v>
      </c>
      <c r="B17" s="2" t="str">
        <f>StudendEnroll!B2</f>
        <v>Makaron</v>
      </c>
      <c r="C17" s="2" t="str">
        <f>StudendEnroll!C2</f>
        <v>JohnMakaron@gmail.com</v>
      </c>
      <c r="D17" s="2" t="str">
        <f>StudendEnroll!D2</f>
        <v>Physics1</v>
      </c>
      <c r="E17" s="14">
        <f t="array" ref="E17:G17">XLOOKUP(C17,Physics1.DailyAttendance!D2:D12,Physics1.DailyAttendance!L2:N12)</f>
        <v>85</v>
      </c>
      <c r="F17" s="2">
        <v>87.0</v>
      </c>
      <c r="G17" s="2" t="s">
        <v>63</v>
      </c>
    </row>
    <row r="18">
      <c r="A18" s="2" t="str">
        <f>StudendEnroll!A5</f>
        <v>Olivia</v>
      </c>
      <c r="B18" s="2" t="str">
        <f>StudendEnroll!B5</f>
        <v>Matt</v>
      </c>
      <c r="C18" s="2" t="str">
        <f>StudendEnroll!C5</f>
        <v>OliviaMatt@gmail.com</v>
      </c>
      <c r="D18" s="2" t="str">
        <f>StudendEnroll!D5</f>
        <v>Physics1</v>
      </c>
      <c r="E18" s="14">
        <f t="array" ref="E18:G18">XLOOKUP(C18,Physics1.DailyAttendance!D3:D13,Physics1.DailyAttendance!L3:N13)</f>
        <v>88</v>
      </c>
      <c r="F18" s="2">
        <v>75.0</v>
      </c>
      <c r="G18" s="2" t="s">
        <v>63</v>
      </c>
    </row>
    <row r="19">
      <c r="A19" s="2" t="str">
        <f>StudendEnroll!A8</f>
        <v>Diana</v>
      </c>
      <c r="B19" s="2" t="str">
        <f>StudendEnroll!B8</f>
        <v>Pinto</v>
      </c>
      <c r="C19" s="2" t="str">
        <f>StudendEnroll!C8</f>
        <v>DianaPinto@gmail.com</v>
      </c>
      <c r="D19" s="2" t="str">
        <f>StudendEnroll!D8</f>
        <v>Physics1</v>
      </c>
      <c r="E19" s="14">
        <f t="array" ref="E19:G19">XLOOKUP(C19,Physics1.DailyAttendance!D4:D14,Physics1.DailyAttendance!L4:N14)</f>
        <v>69</v>
      </c>
      <c r="F19" s="2">
        <v>33.0</v>
      </c>
      <c r="G19" s="2" t="s">
        <v>63</v>
      </c>
    </row>
    <row r="20">
      <c r="A20" s="2" t="str">
        <f>StudendEnroll!A10</f>
        <v>Kate</v>
      </c>
      <c r="B20" s="2" t="str">
        <f>StudendEnroll!B10</f>
        <v>Potter</v>
      </c>
      <c r="C20" s="2" t="str">
        <f>StudendEnroll!C10</f>
        <v>KatePotter@gmail.com</v>
      </c>
      <c r="D20" s="2" t="str">
        <f>StudendEnroll!D10</f>
        <v>Physics1</v>
      </c>
      <c r="E20" s="14">
        <f t="array" ref="E20:G20">XLOOKUP(C20,Physics1.DailyAttendance!D5:D15,Physics1.DailyAttendance!L5:N15)</f>
        <v>100</v>
      </c>
      <c r="F20" s="2">
        <v>84.0</v>
      </c>
      <c r="G20" s="2" t="s">
        <v>63</v>
      </c>
    </row>
    <row r="21" ht="15.75" customHeight="1">
      <c r="A21" s="2" t="str">
        <f>StudendEnroll!A11</f>
        <v>Manny</v>
      </c>
      <c r="B21" s="2" t="str">
        <f>StudendEnroll!B11</f>
        <v>Pac</v>
      </c>
      <c r="C21" s="2" t="str">
        <f>StudendEnroll!C11</f>
        <v>MannyPac@gmail.com</v>
      </c>
      <c r="D21" s="2" t="str">
        <f>StudendEnroll!D11</f>
        <v>Physics1</v>
      </c>
      <c r="E21" s="14">
        <f t="array" ref="E21:G21">XLOOKUP(C21,Physics1.DailyAttendance!D6:D16,Physics1.DailyAttendance!L6:N16)</f>
        <v>70</v>
      </c>
      <c r="F21" s="2">
        <v>79.0</v>
      </c>
      <c r="G21" s="2" t="s">
        <v>63</v>
      </c>
    </row>
    <row r="22" ht="15.75" customHeight="1">
      <c r="A22" s="2" t="str">
        <f>StudendEnroll!A12</f>
        <v>Katy</v>
      </c>
      <c r="B22" s="2" t="str">
        <f>StudendEnroll!B12</f>
        <v>Perri</v>
      </c>
      <c r="C22" s="2" t="str">
        <f>StudendEnroll!C12</f>
        <v>KatyPerri@gmail.com</v>
      </c>
      <c r="D22" s="2" t="str">
        <f>StudendEnroll!D12</f>
        <v>Physics1</v>
      </c>
      <c r="E22" s="14">
        <f t="array" ref="E22:G22">XLOOKUP(C22,Physics1.DailyAttendance!D7:D17,Physics1.DailyAttendance!L7:N17)</f>
        <v>43</v>
      </c>
      <c r="F22" s="2">
        <v>100.0</v>
      </c>
      <c r="G22" s="2" t="s">
        <v>63</v>
      </c>
    </row>
    <row r="23" ht="15.75" customHeight="1">
      <c r="A23" s="2" t="str">
        <f>StudendEnroll!A13</f>
        <v>Antony</v>
      </c>
      <c r="B23" s="2" t="str">
        <f>StudendEnroll!B13</f>
        <v>Ward</v>
      </c>
      <c r="C23" s="2" t="str">
        <f>StudendEnroll!C13</f>
        <v>AntonyWard@gmail.com</v>
      </c>
      <c r="D23" s="2" t="str">
        <f>StudendEnroll!D13</f>
        <v>Physics1</v>
      </c>
      <c r="E23" s="14">
        <f t="array" ref="E23:G23">XLOOKUP(C23,Physics1.DailyAttendance!D8:D18,Physics1.DailyAttendance!L8:N18)</f>
        <v>82</v>
      </c>
      <c r="F23" s="2">
        <v>88.0</v>
      </c>
      <c r="G23" s="2" t="s">
        <v>63</v>
      </c>
    </row>
    <row r="24" ht="15.75" customHeight="1">
      <c r="A24" s="2" t="str">
        <f>StudendEnroll!A14</f>
        <v>Billy</v>
      </c>
      <c r="B24" s="2" t="str">
        <f>StudendEnroll!B14</f>
        <v>Sane</v>
      </c>
      <c r="C24" s="2" t="str">
        <f>StudendEnroll!C14</f>
        <v>BillySane@gmail.com</v>
      </c>
      <c r="D24" s="2" t="str">
        <f>StudendEnroll!D14</f>
        <v>Physics1</v>
      </c>
      <c r="E24" s="14">
        <f t="array" ref="E24:G24">XLOOKUP(C24,Physics1.DailyAttendance!D9:D19,Physics1.DailyAttendance!L9:N19)</f>
        <v>75</v>
      </c>
      <c r="F24" s="2">
        <v>81.0</v>
      </c>
      <c r="G24" s="2" t="s">
        <v>63</v>
      </c>
    </row>
    <row r="25" ht="15.75" customHeight="1">
      <c r="A25" s="2" t="str">
        <f>StudendEnroll!A15</f>
        <v>Ronald</v>
      </c>
      <c r="B25" s="2" t="str">
        <f>StudendEnroll!B15</f>
        <v>Connan</v>
      </c>
      <c r="C25" s="2" t="str">
        <f>StudendEnroll!C15</f>
        <v>RonaldConnan@gmail.com</v>
      </c>
      <c r="D25" s="2" t="str">
        <f>StudendEnroll!D15</f>
        <v>Physics1</v>
      </c>
      <c r="E25" s="14">
        <f t="array" ref="E25:G25">XLOOKUP(C25,Physics1.DailyAttendance!D10:D20,Physics1.DailyAttendance!L10:N20)</f>
        <v>92</v>
      </c>
      <c r="F25" s="2">
        <v>79.0</v>
      </c>
      <c r="G25" s="2" t="s">
        <v>63</v>
      </c>
    </row>
    <row r="26" ht="15.75" customHeight="1">
      <c r="A26" s="2" t="str">
        <f>StudendEnroll!A25</f>
        <v>Anna</v>
      </c>
      <c r="B26" s="2" t="str">
        <f>StudendEnroll!B25</f>
        <v>Tsakiris</v>
      </c>
      <c r="C26" s="2" t="str">
        <f>StudendEnroll!C25</f>
        <v>AnnaTsakiris@gmail.com</v>
      </c>
      <c r="D26" s="2" t="str">
        <f>StudendEnroll!D25</f>
        <v>Physics1</v>
      </c>
      <c r="E26" s="14">
        <f t="array" ref="E26:G26">XLOOKUP(C26,Physics1.DailyAttendance!D11:D21,Physics1.DailyAttendance!L11:N21)</f>
        <v>71</v>
      </c>
      <c r="F26" s="2">
        <v>79.0</v>
      </c>
      <c r="G26" s="2" t="s">
        <v>63</v>
      </c>
    </row>
    <row r="27" ht="15.75" customHeight="1">
      <c r="A27" s="2" t="str">
        <f>StudendEnroll!A26</f>
        <v>Neto</v>
      </c>
      <c r="B27" s="2" t="str">
        <f>StudendEnroll!B26</f>
        <v>Juninhio</v>
      </c>
      <c r="C27" s="2" t="str">
        <f>StudendEnroll!C26</f>
        <v>NetoJuninhio@gmail.com</v>
      </c>
      <c r="D27" s="2" t="str">
        <f>StudendEnroll!D26</f>
        <v>Physics1</v>
      </c>
      <c r="E27" s="14">
        <f t="array" ref="E27:G27">XLOOKUP(C27,Physics1.DailyAttendance!D12:D22,Physics1.DailyAttendance!L12:N22)</f>
        <v>40</v>
      </c>
      <c r="F27" s="2">
        <v>66.0</v>
      </c>
      <c r="G27" s="2" t="s">
        <v>64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7">
    <sortState ref="A1:G27">
      <sortCondition ref="D1:D27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9.0"/>
    <col customWidth="1" min="4" max="4" width="16.25"/>
    <col customWidth="1" min="5" max="5" width="11.75"/>
    <col customWidth="1" min="6" max="6" width="11.5"/>
    <col customWidth="1" min="7" max="7" width="12.75"/>
    <col customWidth="1" min="8" max="8" width="24.63"/>
    <col customWidth="1" min="9" max="9" width="17.88"/>
    <col customWidth="1" min="10" max="14" width="7.63"/>
    <col customWidth="1" min="15" max="15" width="16.75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5" t="s">
        <v>60</v>
      </c>
      <c r="I1" s="5" t="s">
        <v>68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tr">
        <f>StudendEnroll!C2</f>
        <v>JohnMakaron@gmail.com</v>
      </c>
      <c r="D2" s="2" t="s">
        <v>6</v>
      </c>
      <c r="E2" s="7">
        <f t="array" ref="E2">IF(D2=$O$3,(XLOOKUP(C2,Physics1.DailyAttendance!$D$2:$D$12,Physics1.DailyAttendance!$K$2:$K$12)),XLOOKUP(C2,Maths1.DailyAttendance!$D$2:$D$16,Maths1.DailyAttendance!$K$2:$K$16))</f>
        <v>0.8</v>
      </c>
      <c r="F2" s="2">
        <f t="array" ref="F2">XLOOKUP(C2,StudentAssignments!$C$2:$C$27,StudentAssignments!$E$2:$E$27)</f>
        <v>85</v>
      </c>
      <c r="G2" s="2">
        <f t="array" ref="G2">XLOOKUP(C2,StudentAssignments!$C$2:$C$27,StudentAssignments!$F$2:$F$27)</f>
        <v>87</v>
      </c>
      <c r="H2" s="2" t="str">
        <f t="array" ref="H2">XLOOKUP(C2,StudentAssignments!$C$2:$C$27,StudentAssignments!$G$2:$G$27)</f>
        <v>Yes</v>
      </c>
      <c r="I2" s="2" t="str">
        <f t="array" ref="I2">XLOOKUP(StudentTracker!C2,'Certificate Score'!$C$2:$C$27,'Certificate Score'!$J$2:$J$27)</f>
        <v>Excellent</v>
      </c>
      <c r="O2" s="15" t="s">
        <v>69</v>
      </c>
    </row>
    <row r="3">
      <c r="A3" s="2" t="s">
        <v>7</v>
      </c>
      <c r="B3" s="2" t="s">
        <v>8</v>
      </c>
      <c r="C3" s="2" t="str">
        <f>StudendEnroll!C3</f>
        <v>ElvisBond@gmail.com</v>
      </c>
      <c r="D3" s="2" t="s">
        <v>9</v>
      </c>
      <c r="E3" s="7">
        <f t="array" ref="E3">IF(D3=$O$3,(XLOOKUP(C3,Physics1.DailyAttendance!$D$2:$D$12,Physics1.DailyAttendance!$K$2:$K$12)),XLOOKUP(C3,Maths1.DailyAttendance!$D$2:$D$16,Maths1.DailyAttendance!$K$2:$K$16))</f>
        <v>1</v>
      </c>
      <c r="F3" s="2">
        <f t="array" ref="F3">XLOOKUP(C3,StudentAssignments!$C$2:$C$27,StudentAssignments!$E$2:$E$27)</f>
        <v>96</v>
      </c>
      <c r="G3" s="2">
        <f t="array" ref="G3">XLOOKUP(C3,StudentAssignments!$C$2:$C$27,StudentAssignments!$F$2:$F$27)</f>
        <v>88</v>
      </c>
      <c r="H3" s="2" t="str">
        <f t="array" ref="H3">XLOOKUP(C3,StudentAssignments!$C$2:$C$27,StudentAssignments!$G$2:$G$27)</f>
        <v>Yes</v>
      </c>
      <c r="I3" s="2" t="str">
        <f t="array" ref="I3">XLOOKUP(StudentTracker!C3,'Certificate Score'!$C$2:$C$27,'Certificate Score'!$J$2:$J$27)</f>
        <v>Excellent</v>
      </c>
      <c r="O3" s="16" t="s">
        <v>6</v>
      </c>
    </row>
    <row r="4">
      <c r="A4" s="2" t="s">
        <v>10</v>
      </c>
      <c r="B4" s="2" t="s">
        <v>11</v>
      </c>
      <c r="C4" s="2" t="str">
        <f>StudendEnroll!C4</f>
        <v>MaryGas@gmail.com</v>
      </c>
      <c r="D4" s="2" t="s">
        <v>9</v>
      </c>
      <c r="E4" s="7">
        <f t="array" ref="E4">IF(D4=$O$3,(XLOOKUP(C4,Physics1.DailyAttendance!$D$2:$D$12,Physics1.DailyAttendance!$K$2:$K$12)),XLOOKUP(C4,Maths1.DailyAttendance!$D$2:$D$16,Maths1.DailyAttendance!$K$2:$K$16))</f>
        <v>1</v>
      </c>
      <c r="F4" s="2">
        <f t="array" ref="F4">XLOOKUP(C4,StudentAssignments!$C$2:$C$27,StudentAssignments!$E$2:$E$27)</f>
        <v>55</v>
      </c>
      <c r="G4" s="2">
        <f t="array" ref="G4">XLOOKUP(C4,StudentAssignments!$C$2:$C$27,StudentAssignments!$F$2:$F$27)</f>
        <v>66</v>
      </c>
      <c r="H4" s="2" t="str">
        <f t="array" ref="H4">XLOOKUP(C4,StudentAssignments!$C$2:$C$27,StudentAssignments!$G$2:$G$27)</f>
        <v>No</v>
      </c>
      <c r="I4" s="2" t="str">
        <f t="array" ref="I4">XLOOKUP(StudentTracker!C4,'Certificate Score'!$C$2:$C$27,'Certificate Score'!$J$2:$J$27)</f>
        <v>Fail</v>
      </c>
      <c r="O4" s="16" t="s">
        <v>9</v>
      </c>
    </row>
    <row r="5">
      <c r="A5" s="2" t="s">
        <v>12</v>
      </c>
      <c r="B5" s="2" t="s">
        <v>13</v>
      </c>
      <c r="C5" s="2" t="str">
        <f>StudendEnroll!C5</f>
        <v>OliviaMatt@gmail.com</v>
      </c>
      <c r="D5" s="2" t="s">
        <v>6</v>
      </c>
      <c r="E5" s="7">
        <f t="array" ref="E5">IF(D5=$O$3,(XLOOKUP(C5,Physics1.DailyAttendance!$D$2:$D$12,Physics1.DailyAttendance!$K$2:$K$12)),XLOOKUP(C5,Maths1.DailyAttendance!$D$2:$D$16,Maths1.DailyAttendance!$K$2:$K$16))</f>
        <v>0.8</v>
      </c>
      <c r="F5" s="2">
        <f t="array" ref="F5">XLOOKUP(C5,StudentAssignments!$C$2:$C$27,StudentAssignments!$E$2:$E$27)</f>
        <v>88</v>
      </c>
      <c r="G5" s="2">
        <f t="array" ref="G5">XLOOKUP(C5,StudentAssignments!$C$2:$C$27,StudentAssignments!$F$2:$F$27)</f>
        <v>75</v>
      </c>
      <c r="H5" s="2" t="str">
        <f t="array" ref="H5">XLOOKUP(C5,StudentAssignments!$C$2:$C$27,StudentAssignments!$G$2:$G$27)</f>
        <v>Yes</v>
      </c>
      <c r="I5" s="2" t="str">
        <f t="array" ref="I5">XLOOKUP(StudentTracker!C5,'Certificate Score'!$C$2:$C$27,'Certificate Score'!$J$2:$J$27)</f>
        <v>Excellent</v>
      </c>
    </row>
    <row r="6">
      <c r="A6" s="2" t="s">
        <v>14</v>
      </c>
      <c r="B6" s="2" t="s">
        <v>15</v>
      </c>
      <c r="C6" s="2" t="str">
        <f>StudendEnroll!C6</f>
        <v>RobertHus@gmail.com</v>
      </c>
      <c r="D6" s="2" t="s">
        <v>9</v>
      </c>
      <c r="E6" s="7">
        <f t="array" ref="E6">IF(D6=$O$3,(XLOOKUP(C6,Physics1.DailyAttendance!$D$2:$D$12,Physics1.DailyAttendance!$K$2:$K$12)),XLOOKUP(C6,Maths1.DailyAttendance!$D$2:$D$16,Maths1.DailyAttendance!$K$2:$K$16))</f>
        <v>1</v>
      </c>
      <c r="F6" s="2">
        <f t="array" ref="F6">XLOOKUP(C6,StudentAssignments!$C$2:$C$27,StudentAssignments!$E$2:$E$27)</f>
        <v>81</v>
      </c>
      <c r="G6" s="2">
        <f t="array" ref="G6">XLOOKUP(C6,StudentAssignments!$C$2:$C$27,StudentAssignments!$F$2:$F$27)</f>
        <v>99</v>
      </c>
      <c r="H6" s="2" t="str">
        <f t="array" ref="H6">XLOOKUP(C6,StudentAssignments!$C$2:$C$27,StudentAssignments!$G$2:$G$27)</f>
        <v>Yes</v>
      </c>
      <c r="I6" s="2" t="str">
        <f t="array" ref="I6">XLOOKUP(StudentTracker!C6,'Certificate Score'!$C$2:$C$27,'Certificate Score'!$J$2:$J$27)</f>
        <v>Excellent</v>
      </c>
    </row>
    <row r="7">
      <c r="A7" s="2" t="s">
        <v>16</v>
      </c>
      <c r="B7" s="2" t="s">
        <v>17</v>
      </c>
      <c r="C7" s="2" t="str">
        <f>StudendEnroll!C7</f>
        <v>OmarKasim@gmail.com</v>
      </c>
      <c r="D7" s="2" t="s">
        <v>9</v>
      </c>
      <c r="E7" s="7">
        <f t="array" ref="E7">IF(D7=$O$3,(XLOOKUP(C7,Physics1.DailyAttendance!$D$2:$D$12,Physics1.DailyAttendance!$K$2:$K$12)),XLOOKUP(C7,Maths1.DailyAttendance!$D$2:$D$16,Maths1.DailyAttendance!$K$2:$K$16))</f>
        <v>0.4</v>
      </c>
      <c r="F7" s="2">
        <f t="array" ref="F7">XLOOKUP(C7,StudentAssignments!$C$2:$C$27,StudentAssignments!$E$2:$E$27)</f>
        <v>77</v>
      </c>
      <c r="G7" s="2">
        <f t="array" ref="G7">XLOOKUP(C7,StudentAssignments!$C$2:$C$27,StudentAssignments!$F$2:$F$27)</f>
        <v>87</v>
      </c>
      <c r="H7" s="2" t="str">
        <f t="array" ref="H7">XLOOKUP(C7,StudentAssignments!$C$2:$C$27,StudentAssignments!$G$2:$G$27)</f>
        <v>Yes</v>
      </c>
      <c r="I7" s="2" t="str">
        <f t="array" ref="I7">XLOOKUP(StudentTracker!C7,'Certificate Score'!$C$2:$C$27,'Certificate Score'!$J$2:$J$27)</f>
        <v>Good</v>
      </c>
    </row>
    <row r="8">
      <c r="A8" s="2" t="s">
        <v>18</v>
      </c>
      <c r="B8" s="2" t="s">
        <v>19</v>
      </c>
      <c r="C8" s="2" t="str">
        <f>StudendEnroll!C8</f>
        <v>DianaPinto@gmail.com</v>
      </c>
      <c r="D8" s="2" t="s">
        <v>6</v>
      </c>
      <c r="E8" s="7">
        <f t="array" ref="E8">IF(D8=$O$3,(XLOOKUP(C8,Physics1.DailyAttendance!$D$2:$D$12,Physics1.DailyAttendance!$K$2:$K$12)),XLOOKUP(C8,Maths1.DailyAttendance!$D$2:$D$16,Maths1.DailyAttendance!$K$2:$K$16))</f>
        <v>0.4</v>
      </c>
      <c r="F8" s="2">
        <f t="array" ref="F8">XLOOKUP(C8,StudentAssignments!$C$2:$C$27,StudentAssignments!$E$2:$E$27)</f>
        <v>69</v>
      </c>
      <c r="G8" s="2">
        <f t="array" ref="G8">XLOOKUP(C8,StudentAssignments!$C$2:$C$27,StudentAssignments!$F$2:$F$27)</f>
        <v>33</v>
      </c>
      <c r="H8" s="2" t="str">
        <f t="array" ref="H8">XLOOKUP(C8,StudentAssignments!$C$2:$C$27,StudentAssignments!$G$2:$G$27)</f>
        <v>Yes</v>
      </c>
      <c r="I8" s="2" t="str">
        <f t="array" ref="I8">XLOOKUP(StudentTracker!C8,'Certificate Score'!$C$2:$C$27,'Certificate Score'!$J$2:$J$27)</f>
        <v>Fail</v>
      </c>
    </row>
    <row r="9">
      <c r="A9" s="2" t="s">
        <v>20</v>
      </c>
      <c r="B9" s="2" t="s">
        <v>21</v>
      </c>
      <c r="C9" s="2" t="str">
        <f>StudendEnroll!C9</f>
        <v>DenisRodman@gmail.com</v>
      </c>
      <c r="D9" s="2" t="s">
        <v>9</v>
      </c>
      <c r="E9" s="7">
        <f t="array" ref="E9">IF(D9=$O$3,(XLOOKUP(C9,Physics1.DailyAttendance!$D$2:$D$12,Physics1.DailyAttendance!$K$2:$K$12)),XLOOKUP(C9,Maths1.DailyAttendance!$D$2:$D$16,Maths1.DailyAttendance!$K$2:$K$16))</f>
        <v>0.8</v>
      </c>
      <c r="F9" s="2">
        <f t="array" ref="F9">XLOOKUP(C9,StudentAssignments!$C$2:$C$27,StudentAssignments!$E$2:$E$27)</f>
        <v>80</v>
      </c>
      <c r="G9" s="2">
        <f t="array" ref="G9">XLOOKUP(C9,StudentAssignments!$C$2:$C$27,StudentAssignments!$F$2:$F$27)</f>
        <v>78</v>
      </c>
      <c r="H9" s="2" t="str">
        <f t="array" ref="H9">XLOOKUP(C9,StudentAssignments!$C$2:$C$27,StudentAssignments!$G$2:$G$27)</f>
        <v>Yes</v>
      </c>
      <c r="I9" s="2" t="str">
        <f t="array" ref="I9">XLOOKUP(StudentTracker!C9,'Certificate Score'!$C$2:$C$27,'Certificate Score'!$J$2:$J$27)</f>
        <v>Excellent</v>
      </c>
    </row>
    <row r="10">
      <c r="A10" s="2" t="s">
        <v>22</v>
      </c>
      <c r="B10" s="2" t="s">
        <v>23</v>
      </c>
      <c r="C10" s="2" t="str">
        <f>StudendEnroll!C10</f>
        <v>KatePotter@gmail.com</v>
      </c>
      <c r="D10" s="2" t="s">
        <v>6</v>
      </c>
      <c r="E10" s="7">
        <f t="array" ref="E10">IF(D10=$O$3,(XLOOKUP(C10,Physics1.DailyAttendance!$D$2:$D$12,Physics1.DailyAttendance!$K$2:$K$12)),XLOOKUP(C10,Maths1.DailyAttendance!$D$2:$D$16,Maths1.DailyAttendance!$K$2:$K$16))</f>
        <v>1</v>
      </c>
      <c r="F10" s="2">
        <f t="array" ref="F10">XLOOKUP(C10,StudentAssignments!$C$2:$C$27,StudentAssignments!$E$2:$E$27)</f>
        <v>100</v>
      </c>
      <c r="G10" s="2">
        <f t="array" ref="G10">XLOOKUP(C10,StudentAssignments!$C$2:$C$27,StudentAssignments!$F$2:$F$27)</f>
        <v>84</v>
      </c>
      <c r="H10" s="2" t="str">
        <f t="array" ref="H10">XLOOKUP(C10,StudentAssignments!$C$2:$C$27,StudentAssignments!$G$2:$G$27)</f>
        <v>Yes</v>
      </c>
      <c r="I10" s="2" t="str">
        <f t="array" ref="I10">XLOOKUP(StudentTracker!C10,'Certificate Score'!$C$2:$C$27,'Certificate Score'!$J$2:$J$27)</f>
        <v>Excellent</v>
      </c>
    </row>
    <row r="11">
      <c r="A11" s="2" t="s">
        <v>24</v>
      </c>
      <c r="B11" s="2" t="s">
        <v>25</v>
      </c>
      <c r="C11" s="2" t="str">
        <f>StudendEnroll!C11</f>
        <v>MannyPac@gmail.com</v>
      </c>
      <c r="D11" s="2" t="s">
        <v>6</v>
      </c>
      <c r="E11" s="7">
        <f t="array" ref="E11">IF(D11=$O$3,(XLOOKUP(C11,Physics1.DailyAttendance!$D$2:$D$12,Physics1.DailyAttendance!$K$2:$K$12)),XLOOKUP(C11,Maths1.DailyAttendance!$D$2:$D$16,Maths1.DailyAttendance!$K$2:$K$16))</f>
        <v>0.6</v>
      </c>
      <c r="F11" s="2">
        <f t="array" ref="F11">XLOOKUP(C11,StudentAssignments!$C$2:$C$27,StudentAssignments!$E$2:$E$27)</f>
        <v>70</v>
      </c>
      <c r="G11" s="2">
        <f t="array" ref="G11">XLOOKUP(C11,StudentAssignments!$C$2:$C$27,StudentAssignments!$F$2:$F$27)</f>
        <v>79</v>
      </c>
      <c r="H11" s="2" t="str">
        <f t="array" ref="H11">XLOOKUP(C11,StudentAssignments!$C$2:$C$27,StudentAssignments!$G$2:$G$27)</f>
        <v>Yes</v>
      </c>
      <c r="I11" s="2" t="str">
        <f t="array" ref="I11">XLOOKUP(StudentTracker!C11,'Certificate Score'!$C$2:$C$27,'Certificate Score'!$J$2:$J$27)</f>
        <v>Good</v>
      </c>
    </row>
    <row r="12">
      <c r="A12" s="2" t="s">
        <v>26</v>
      </c>
      <c r="B12" s="2" t="s">
        <v>27</v>
      </c>
      <c r="C12" s="2" t="str">
        <f>StudendEnroll!C12</f>
        <v>KatyPerri@gmail.com</v>
      </c>
      <c r="D12" s="2" t="s">
        <v>6</v>
      </c>
      <c r="E12" s="7">
        <f t="array" ref="E12">IF(D12=$O$3,(XLOOKUP(C12,Physics1.DailyAttendance!$D$2:$D$12,Physics1.DailyAttendance!$K$2:$K$12)),XLOOKUP(C12,Maths1.DailyAttendance!$D$2:$D$16,Maths1.DailyAttendance!$K$2:$K$16))</f>
        <v>1</v>
      </c>
      <c r="F12" s="2">
        <f t="array" ref="F12">XLOOKUP(C12,StudentAssignments!$C$2:$C$27,StudentAssignments!$E$2:$E$27)</f>
        <v>43</v>
      </c>
      <c r="G12" s="2">
        <f t="array" ref="G12">XLOOKUP(C12,StudentAssignments!$C$2:$C$27,StudentAssignments!$F$2:$F$27)</f>
        <v>100</v>
      </c>
      <c r="H12" s="2" t="str">
        <f t="array" ref="H12">XLOOKUP(C12,StudentAssignments!$C$2:$C$27,StudentAssignments!$G$2:$G$27)</f>
        <v>Yes</v>
      </c>
      <c r="I12" s="2" t="str">
        <f t="array" ref="I12">XLOOKUP(StudentTracker!C12,'Certificate Score'!$C$2:$C$27,'Certificate Score'!$J$2:$J$27)</f>
        <v>Excellent</v>
      </c>
    </row>
    <row r="13">
      <c r="A13" s="2" t="s">
        <v>28</v>
      </c>
      <c r="B13" s="2" t="s">
        <v>29</v>
      </c>
      <c r="C13" s="2" t="str">
        <f>StudendEnroll!C13</f>
        <v>AntonyWard@gmail.com</v>
      </c>
      <c r="D13" s="2" t="s">
        <v>6</v>
      </c>
      <c r="E13" s="7">
        <f t="array" ref="E13">IF(D13=$O$3,(XLOOKUP(C13,Physics1.DailyAttendance!$D$2:$D$12,Physics1.DailyAttendance!$K$2:$K$12)),XLOOKUP(C13,Maths1.DailyAttendance!$D$2:$D$16,Maths1.DailyAttendance!$K$2:$K$16))</f>
        <v>0.8</v>
      </c>
      <c r="F13" s="2">
        <f t="array" ref="F13">XLOOKUP(C13,StudentAssignments!$C$2:$C$27,StudentAssignments!$E$2:$E$27)</f>
        <v>82</v>
      </c>
      <c r="G13" s="2">
        <f t="array" ref="G13">XLOOKUP(C13,StudentAssignments!$C$2:$C$27,StudentAssignments!$F$2:$F$27)</f>
        <v>88</v>
      </c>
      <c r="H13" s="2" t="str">
        <f t="array" ref="H13">XLOOKUP(C13,StudentAssignments!$C$2:$C$27,StudentAssignments!$G$2:$G$27)</f>
        <v>Yes</v>
      </c>
      <c r="I13" s="2" t="str">
        <f t="array" ref="I13">XLOOKUP(StudentTracker!C13,'Certificate Score'!$C$2:$C$27,'Certificate Score'!$J$2:$J$27)</f>
        <v>Excellent</v>
      </c>
    </row>
    <row r="14">
      <c r="A14" s="2" t="s">
        <v>30</v>
      </c>
      <c r="B14" s="2" t="s">
        <v>31</v>
      </c>
      <c r="C14" s="2" t="str">
        <f>StudendEnroll!C14</f>
        <v>BillySane@gmail.com</v>
      </c>
      <c r="D14" s="2" t="s">
        <v>6</v>
      </c>
      <c r="E14" s="7">
        <f t="array" ref="E14">IF(D14=$O$3,(XLOOKUP(C14,Physics1.DailyAttendance!$D$2:$D$12,Physics1.DailyAttendance!$K$2:$K$12)),XLOOKUP(C14,Maths1.DailyAttendance!$D$2:$D$16,Maths1.DailyAttendance!$K$2:$K$16))</f>
        <v>0.6</v>
      </c>
      <c r="F14" s="2">
        <f t="array" ref="F14">XLOOKUP(C14,StudentAssignments!$C$2:$C$27,StudentAssignments!$E$2:$E$27)</f>
        <v>75</v>
      </c>
      <c r="G14" s="2">
        <f t="array" ref="G14">XLOOKUP(C14,StudentAssignments!$C$2:$C$27,StudentAssignments!$F$2:$F$27)</f>
        <v>81</v>
      </c>
      <c r="H14" s="2" t="str">
        <f t="array" ref="H14">XLOOKUP(C14,StudentAssignments!$C$2:$C$27,StudentAssignments!$G$2:$G$27)</f>
        <v>Yes</v>
      </c>
      <c r="I14" s="2" t="str">
        <f t="array" ref="I14">XLOOKUP(StudentTracker!C14,'Certificate Score'!$C$2:$C$27,'Certificate Score'!$J$2:$J$27)</f>
        <v>Good</v>
      </c>
    </row>
    <row r="15">
      <c r="A15" s="2" t="s">
        <v>32</v>
      </c>
      <c r="B15" s="2" t="s">
        <v>33</v>
      </c>
      <c r="C15" s="2" t="str">
        <f>StudendEnroll!C15</f>
        <v>RonaldConnan@gmail.com</v>
      </c>
      <c r="D15" s="2" t="s">
        <v>6</v>
      </c>
      <c r="E15" s="7">
        <f t="array" ref="E15">IF(D15=$O$3,(XLOOKUP(C15,Physics1.DailyAttendance!$D$2:$D$12,Physics1.DailyAttendance!$K$2:$K$12)),XLOOKUP(C15,Maths1.DailyAttendance!$D$2:$D$16,Maths1.DailyAttendance!$K$2:$K$16))</f>
        <v>0</v>
      </c>
      <c r="F15" s="2">
        <f t="array" ref="F15">XLOOKUP(C15,StudentAssignments!$C$2:$C$27,StudentAssignments!$E$2:$E$27)</f>
        <v>92</v>
      </c>
      <c r="G15" s="2">
        <f t="array" ref="G15">XLOOKUP(C15,StudentAssignments!$C$2:$C$27,StudentAssignments!$F$2:$F$27)</f>
        <v>79</v>
      </c>
      <c r="H15" s="2" t="str">
        <f t="array" ref="H15">XLOOKUP(C15,StudentAssignments!$C$2:$C$27,StudentAssignments!$G$2:$G$27)</f>
        <v>Yes</v>
      </c>
      <c r="I15" s="2" t="str">
        <f t="array" ref="I15">XLOOKUP(StudentTracker!C15,'Certificate Score'!$C$2:$C$27,'Certificate Score'!$J$2:$J$27)</f>
        <v>Fail</v>
      </c>
    </row>
    <row r="16">
      <c r="A16" s="2" t="s">
        <v>4</v>
      </c>
      <c r="B16" s="2" t="s">
        <v>34</v>
      </c>
      <c r="C16" s="2" t="str">
        <f>StudendEnroll!C16</f>
        <v>JohnBaderas@gmail.com</v>
      </c>
      <c r="D16" s="2" t="s">
        <v>9</v>
      </c>
      <c r="E16" s="7">
        <f t="array" ref="E16">IF(D16=$O$3,(XLOOKUP(C16,Physics1.DailyAttendance!$D$2:$D$12,Physics1.DailyAttendance!$K$2:$K$12)),XLOOKUP(C16,Maths1.DailyAttendance!$D$2:$D$16,Maths1.DailyAttendance!$K$2:$K$16))</f>
        <v>0.8</v>
      </c>
      <c r="F16" s="2">
        <f t="array" ref="F16">XLOOKUP(C16,StudentAssignments!$C$2:$C$27,StudentAssignments!$E$2:$E$27)</f>
        <v>60</v>
      </c>
      <c r="G16" s="2">
        <f t="array" ref="G16">XLOOKUP(C16,StudentAssignments!$C$2:$C$27,StudentAssignments!$F$2:$F$27)</f>
        <v>94</v>
      </c>
      <c r="H16" s="2" t="str">
        <f t="array" ref="H16">XLOOKUP(C16,StudentAssignments!$C$2:$C$27,StudentAssignments!$G$2:$G$27)</f>
        <v>Yes</v>
      </c>
      <c r="I16" s="2" t="str">
        <f t="array" ref="I16">XLOOKUP(StudentTracker!C16,'Certificate Score'!$C$2:$C$27,'Certificate Score'!$J$2:$J$27)</f>
        <v>Good</v>
      </c>
    </row>
    <row r="17">
      <c r="A17" s="2" t="s">
        <v>32</v>
      </c>
      <c r="B17" s="2" t="s">
        <v>33</v>
      </c>
      <c r="C17" s="2" t="str">
        <f>StudendEnroll!C17</f>
        <v>RonaldConnan@gmail.com</v>
      </c>
      <c r="D17" s="2" t="s">
        <v>9</v>
      </c>
      <c r="E17" s="7">
        <f t="array" ref="E17">IF(D17=$O$3,(XLOOKUP(C17,Physics1.DailyAttendance!$D$2:$D$12,Physics1.DailyAttendance!$K$2:$K$12)),XLOOKUP(C17,Maths1.DailyAttendance!$D$2:$D$16,Maths1.DailyAttendance!$K$2:$K$16))</f>
        <v>0.2</v>
      </c>
      <c r="F17" s="2">
        <f t="array" ref="F17">XLOOKUP(C17,StudentAssignments!$C$2:$C$27,StudentAssignments!$E$2:$E$27)</f>
        <v>92</v>
      </c>
      <c r="G17" s="2">
        <f t="array" ref="G17">XLOOKUP(C17,StudentAssignments!$C$2:$C$27,StudentAssignments!$F$2:$F$27)</f>
        <v>79</v>
      </c>
      <c r="H17" s="2" t="str">
        <f t="array" ref="H17">XLOOKUP(C17,StudentAssignments!$C$2:$C$27,StudentAssignments!$G$2:$G$27)</f>
        <v>Yes</v>
      </c>
      <c r="I17" s="2" t="str">
        <f t="array" ref="I17">XLOOKUP(StudentTracker!C17,'Certificate Score'!$C$2:$C$27,'Certificate Score'!$J$2:$J$27)</f>
        <v>Fail</v>
      </c>
    </row>
    <row r="18">
      <c r="A18" s="2" t="s">
        <v>35</v>
      </c>
      <c r="B18" s="2" t="s">
        <v>36</v>
      </c>
      <c r="C18" s="2" t="str">
        <f>StudendEnroll!C18</f>
        <v>DennisMenace@gmail.com</v>
      </c>
      <c r="D18" s="2" t="s">
        <v>9</v>
      </c>
      <c r="E18" s="7">
        <f t="array" ref="E18">IF(D18=$O$3,(XLOOKUP(C18,Physics1.DailyAttendance!$D$2:$D$12,Physics1.DailyAttendance!$K$2:$K$12)),XLOOKUP(C18,Maths1.DailyAttendance!$D$2:$D$16,Maths1.DailyAttendance!$K$2:$K$16))</f>
        <v>1</v>
      </c>
      <c r="F18" s="2">
        <f t="array" ref="F18">XLOOKUP(C18,StudentAssignments!$C$2:$C$27,StudentAssignments!$E$2:$E$27)</f>
        <v>73</v>
      </c>
      <c r="G18" s="2">
        <f t="array" ref="G18">XLOOKUP(C18,StudentAssignments!$C$2:$C$27,StudentAssignments!$F$2:$F$27)</f>
        <v>99</v>
      </c>
      <c r="H18" s="2" t="str">
        <f t="array" ref="H18">XLOOKUP(C18,StudentAssignments!$C$2:$C$27,StudentAssignments!$G$2:$G$27)</f>
        <v>Yes</v>
      </c>
      <c r="I18" s="2" t="str">
        <f t="array" ref="I18">XLOOKUP(StudentTracker!C18,'Certificate Score'!$C$2:$C$27,'Certificate Score'!$J$2:$J$27)</f>
        <v>Excellent</v>
      </c>
    </row>
    <row r="19">
      <c r="A19" s="2" t="s">
        <v>32</v>
      </c>
      <c r="B19" s="2" t="s">
        <v>37</v>
      </c>
      <c r="C19" s="2" t="str">
        <f>StudendEnroll!C19</f>
        <v>RonaldPape@gmail.com</v>
      </c>
      <c r="D19" s="2" t="s">
        <v>9</v>
      </c>
      <c r="E19" s="7">
        <f t="array" ref="E19">IF(D19=$O$3,(XLOOKUP(C19,Physics1.DailyAttendance!$D$2:$D$12,Physics1.DailyAttendance!$K$2:$K$12)),XLOOKUP(C19,Maths1.DailyAttendance!$D$2:$D$16,Maths1.DailyAttendance!$K$2:$K$16))</f>
        <v>0.6</v>
      </c>
      <c r="F19" s="2">
        <f t="array" ref="F19">XLOOKUP(C19,StudentAssignments!$C$2:$C$27,StudentAssignments!$E$2:$E$27)</f>
        <v>84</v>
      </c>
      <c r="G19" s="2">
        <f t="array" ref="G19">XLOOKUP(C19,StudentAssignments!$C$2:$C$27,StudentAssignments!$F$2:$F$27)</f>
        <v>68</v>
      </c>
      <c r="H19" s="2" t="str">
        <f t="array" ref="H19">XLOOKUP(C19,StudentAssignments!$C$2:$C$27,StudentAssignments!$G$2:$G$27)</f>
        <v>Yes</v>
      </c>
      <c r="I19" s="2" t="str">
        <f t="array" ref="I19">XLOOKUP(StudentTracker!C19,'Certificate Score'!$C$2:$C$27,'Certificate Score'!$J$2:$J$27)</f>
        <v>Good</v>
      </c>
    </row>
    <row r="20">
      <c r="A20" s="2" t="s">
        <v>38</v>
      </c>
      <c r="B20" s="2" t="s">
        <v>39</v>
      </c>
      <c r="C20" s="2" t="str">
        <f>StudendEnroll!C20</f>
        <v>WalidMatip@gmail.com</v>
      </c>
      <c r="D20" s="2" t="s">
        <v>9</v>
      </c>
      <c r="E20" s="7">
        <f t="array" ref="E20">IF(D20=$O$3,(XLOOKUP(C20,Physics1.DailyAttendance!$D$2:$D$12,Physics1.DailyAttendance!$K$2:$K$12)),XLOOKUP(C20,Maths1.DailyAttendance!$D$2:$D$16,Maths1.DailyAttendance!$K$2:$K$16))</f>
        <v>1</v>
      </c>
      <c r="F20" s="2">
        <f t="array" ref="F20">XLOOKUP(C20,StudentAssignments!$C$2:$C$27,StudentAssignments!$E$2:$E$27)</f>
        <v>88</v>
      </c>
      <c r="G20" s="2">
        <f t="array" ref="G20">XLOOKUP(C20,StudentAssignments!$C$2:$C$27,StudentAssignments!$F$2:$F$27)</f>
        <v>80</v>
      </c>
      <c r="H20" s="2" t="str">
        <f t="array" ref="H20">XLOOKUP(C20,StudentAssignments!$C$2:$C$27,StudentAssignments!$G$2:$G$27)</f>
        <v>Yes</v>
      </c>
      <c r="I20" s="2" t="str">
        <f t="array" ref="I20">XLOOKUP(StudentTracker!C20,'Certificate Score'!$C$2:$C$27,'Certificate Score'!$J$2:$J$27)</f>
        <v>Excellent</v>
      </c>
    </row>
    <row r="21" ht="15.75" customHeight="1">
      <c r="A21" s="2" t="s">
        <v>40</v>
      </c>
      <c r="B21" s="2" t="s">
        <v>41</v>
      </c>
      <c r="C21" s="2" t="str">
        <f>StudendEnroll!C21</f>
        <v>DonnaCorleone@gmail.com</v>
      </c>
      <c r="D21" s="2" t="s">
        <v>9</v>
      </c>
      <c r="E21" s="7">
        <f t="array" ref="E21">IF(D21=$O$3,(XLOOKUP(C21,Physics1.DailyAttendance!$D$2:$D$12,Physics1.DailyAttendance!$K$2:$K$12)),XLOOKUP(C21,Maths1.DailyAttendance!$D$2:$D$16,Maths1.DailyAttendance!$K$2:$K$16))</f>
        <v>0.8</v>
      </c>
      <c r="F21" s="2">
        <f t="array" ref="F21">XLOOKUP(C21,StudentAssignments!$C$2:$C$27,StudentAssignments!$E$2:$E$27)</f>
        <v>96</v>
      </c>
      <c r="G21" s="2">
        <f t="array" ref="G21">XLOOKUP(C21,StudentAssignments!$C$2:$C$27,StudentAssignments!$F$2:$F$27)</f>
        <v>90</v>
      </c>
      <c r="H21" s="2" t="str">
        <f t="array" ref="H21">XLOOKUP(C21,StudentAssignments!$C$2:$C$27,StudentAssignments!$G$2:$G$27)</f>
        <v>Yes</v>
      </c>
      <c r="I21" s="2" t="str">
        <f t="array" ref="I21">XLOOKUP(StudentTracker!C21,'Certificate Score'!$C$2:$C$27,'Certificate Score'!$J$2:$J$27)</f>
        <v>Excellent</v>
      </c>
    </row>
    <row r="22" ht="15.75" customHeight="1">
      <c r="A22" s="2" t="s">
        <v>10</v>
      </c>
      <c r="B22" s="2" t="s">
        <v>33</v>
      </c>
      <c r="C22" s="2" t="str">
        <f>StudendEnroll!C22</f>
        <v>MaryConnan@gmail.com</v>
      </c>
      <c r="D22" s="2" t="s">
        <v>9</v>
      </c>
      <c r="E22" s="7">
        <f t="array" ref="E22">IF(D22=$O$3,(XLOOKUP(C22,Physics1.DailyAttendance!$D$2:$D$12,Physics1.DailyAttendance!$K$2:$K$12)),XLOOKUP(C22,Maths1.DailyAttendance!$D$2:$D$16,Maths1.DailyAttendance!$K$2:$K$16))</f>
        <v>0.6</v>
      </c>
      <c r="F22" s="2">
        <f t="array" ref="F22">XLOOKUP(C22,StudentAssignments!$C$2:$C$27,StudentAssignments!$E$2:$E$27)</f>
        <v>100</v>
      </c>
      <c r="G22" s="2">
        <f t="array" ref="G22">XLOOKUP(C22,StudentAssignments!$C$2:$C$27,StudentAssignments!$F$2:$F$27)</f>
        <v>91</v>
      </c>
      <c r="H22" s="2" t="str">
        <f t="array" ref="H22">XLOOKUP(C22,StudentAssignments!$C$2:$C$27,StudentAssignments!$G$2:$G$27)</f>
        <v>Yes</v>
      </c>
      <c r="I22" s="2" t="str">
        <f t="array" ref="I22">XLOOKUP(StudentTracker!C22,'Certificate Score'!$C$2:$C$27,'Certificate Score'!$J$2:$J$27)</f>
        <v>Good</v>
      </c>
    </row>
    <row r="23" ht="15.75" customHeight="1">
      <c r="A23" s="2" t="s">
        <v>42</v>
      </c>
      <c r="B23" s="2" t="s">
        <v>43</v>
      </c>
      <c r="C23" s="2" t="str">
        <f>StudendEnroll!C23</f>
        <v>DustinBoier@gmail.com</v>
      </c>
      <c r="D23" s="2" t="s">
        <v>9</v>
      </c>
      <c r="E23" s="7">
        <f t="array" ref="E23">IF(D23=$O$3,(XLOOKUP(C23,Physics1.DailyAttendance!$D$2:$D$12,Physics1.DailyAttendance!$K$2:$K$12)),XLOOKUP(C23,Maths1.DailyAttendance!$D$2:$D$16,Maths1.DailyAttendance!$K$2:$K$16))</f>
        <v>0</v>
      </c>
      <c r="F23" s="2">
        <f t="array" ref="F23">XLOOKUP(C23,StudentAssignments!$C$2:$C$27,StudentAssignments!$E$2:$E$27)</f>
        <v>83</v>
      </c>
      <c r="G23" s="2">
        <f t="array" ref="G23">XLOOKUP(C23,StudentAssignments!$C$2:$C$27,StudentAssignments!$F$2:$F$27)</f>
        <v>89</v>
      </c>
      <c r="H23" s="2" t="str">
        <f t="array" ref="H23">XLOOKUP(C23,StudentAssignments!$C$2:$C$27,StudentAssignments!$G$2:$G$27)</f>
        <v>Yes</v>
      </c>
      <c r="I23" s="2" t="str">
        <f t="array" ref="I23">XLOOKUP(StudentTracker!C23,'Certificate Score'!$C$2:$C$27,'Certificate Score'!$J$2:$J$27)</f>
        <v>Fail</v>
      </c>
    </row>
    <row r="24" ht="15.75" customHeight="1">
      <c r="A24" s="2" t="s">
        <v>44</v>
      </c>
      <c r="B24" s="2" t="s">
        <v>45</v>
      </c>
      <c r="C24" s="2" t="str">
        <f>StudendEnroll!C24</f>
        <v>LanaAndie@gmail.com</v>
      </c>
      <c r="D24" s="2" t="s">
        <v>9</v>
      </c>
      <c r="E24" s="7">
        <f t="array" ref="E24">IF(D24=$O$3,(XLOOKUP(C24,Physics1.DailyAttendance!$D$2:$D$12,Physics1.DailyAttendance!$K$2:$K$12)),XLOOKUP(C24,Maths1.DailyAttendance!$D$2:$D$16,Maths1.DailyAttendance!$K$2:$K$16))</f>
        <v>0.8</v>
      </c>
      <c r="F24" s="2">
        <f t="array" ref="F24">XLOOKUP(C24,StudentAssignments!$C$2:$C$27,StudentAssignments!$E$2:$E$27)</f>
        <v>97</v>
      </c>
      <c r="G24" s="2">
        <f t="array" ref="G24">XLOOKUP(C24,StudentAssignments!$C$2:$C$27,StudentAssignments!$F$2:$F$27)</f>
        <v>100</v>
      </c>
      <c r="H24" s="2" t="str">
        <f t="array" ref="H24">XLOOKUP(C24,StudentAssignments!$C$2:$C$27,StudentAssignments!$G$2:$G$27)</f>
        <v>Yes</v>
      </c>
      <c r="I24" s="2" t="str">
        <f t="array" ref="I24">XLOOKUP(StudentTracker!C24,'Certificate Score'!$C$2:$C$27,'Certificate Score'!$J$2:$J$27)</f>
        <v>Excellent</v>
      </c>
    </row>
    <row r="25" ht="15.75" customHeight="1">
      <c r="A25" s="2" t="s">
        <v>46</v>
      </c>
      <c r="B25" s="2" t="s">
        <v>47</v>
      </c>
      <c r="C25" s="2" t="str">
        <f>StudendEnroll!C25</f>
        <v>AnnaTsakiris@gmail.com</v>
      </c>
      <c r="D25" s="2" t="s">
        <v>6</v>
      </c>
      <c r="E25" s="7">
        <f t="array" ref="E25">IF(D25=$O$3,(XLOOKUP(C25,Physics1.DailyAttendance!$D$2:$D$12,Physics1.DailyAttendance!$K$2:$K$12)),XLOOKUP(C25,Maths1.DailyAttendance!$D$2:$D$16,Maths1.DailyAttendance!$K$2:$K$16))</f>
        <v>0.8</v>
      </c>
      <c r="F25" s="2">
        <f t="array" ref="F25">XLOOKUP(C25,StudentAssignments!$C$2:$C$27,StudentAssignments!$E$2:$E$27)</f>
        <v>71</v>
      </c>
      <c r="G25" s="2">
        <f t="array" ref="G25">XLOOKUP(C25,StudentAssignments!$C$2:$C$27,StudentAssignments!$F$2:$F$27)</f>
        <v>79</v>
      </c>
      <c r="H25" s="2" t="str">
        <f t="array" ref="H25">XLOOKUP(C25,StudentAssignments!$C$2:$C$27,StudentAssignments!$G$2:$G$27)</f>
        <v>Yes</v>
      </c>
      <c r="I25" s="2" t="str">
        <f t="array" ref="I25">XLOOKUP(StudentTracker!C25,'Certificate Score'!$C$2:$C$27,'Certificate Score'!$J$2:$J$27)</f>
        <v>Good</v>
      </c>
    </row>
    <row r="26" ht="15.75" customHeight="1">
      <c r="A26" s="2" t="s">
        <v>48</v>
      </c>
      <c r="B26" s="2" t="s">
        <v>49</v>
      </c>
      <c r="C26" s="2" t="str">
        <f>StudendEnroll!C26</f>
        <v>NetoJuninhio@gmail.com</v>
      </c>
      <c r="D26" s="2" t="s">
        <v>6</v>
      </c>
      <c r="E26" s="7">
        <f t="array" ref="E26">IF(D26=$O$3,(XLOOKUP(C26,Physics1.DailyAttendance!$D$2:$D$12,Physics1.DailyAttendance!$K$2:$K$12)),XLOOKUP(C26,Maths1.DailyAttendance!$D$2:$D$16,Maths1.DailyAttendance!$K$2:$K$16))</f>
        <v>0.6</v>
      </c>
      <c r="F26" s="2">
        <f t="array" ref="F26">XLOOKUP(C26,StudentAssignments!$C$2:$C$27,StudentAssignments!$E$2:$E$27)</f>
        <v>40</v>
      </c>
      <c r="G26" s="2">
        <f t="array" ref="G26">XLOOKUP(C26,StudentAssignments!$C$2:$C$27,StudentAssignments!$F$2:$F$27)</f>
        <v>66</v>
      </c>
      <c r="H26" s="2" t="str">
        <f t="array" ref="H26">XLOOKUP(C26,StudentAssignments!$C$2:$C$27,StudentAssignments!$G$2:$G$27)</f>
        <v>No</v>
      </c>
      <c r="I26" s="2" t="str">
        <f t="array" ref="I26">XLOOKUP(StudentTracker!C26,'Certificate Score'!$C$2:$C$27,'Certificate Score'!$J$2:$J$27)</f>
        <v>Fail</v>
      </c>
    </row>
    <row r="27" ht="15.75" customHeight="1">
      <c r="A27" s="2" t="s">
        <v>50</v>
      </c>
      <c r="B27" s="2" t="s">
        <v>51</v>
      </c>
      <c r="C27" s="2" t="str">
        <f>StudendEnroll!C27</f>
        <v>AndresIniesti@gmail.com</v>
      </c>
      <c r="D27" s="2" t="s">
        <v>9</v>
      </c>
      <c r="E27" s="7">
        <f t="array" ref="E27">IF(D27=$O$3,(XLOOKUP(C27,Physics1.DailyAttendance!$D$2:$D$12,Physics1.DailyAttendance!$K$2:$K$12)),XLOOKUP(C27,Maths1.DailyAttendance!$D$2:$D$16,Maths1.DailyAttendance!$K$2:$K$16))</f>
        <v>0.6</v>
      </c>
      <c r="F27" s="2">
        <f t="array" ref="F27">XLOOKUP(C27,StudentAssignments!$C$2:$C$27,StudentAssignments!$E$2:$E$27)</f>
        <v>90</v>
      </c>
      <c r="G27" s="2">
        <f t="array" ref="G27">XLOOKUP(C27,StudentAssignments!$C$2:$C$27,StudentAssignments!$F$2:$F$27)</f>
        <v>87</v>
      </c>
      <c r="H27" s="2" t="str">
        <f t="array" ref="H27">XLOOKUP(C27,StudentAssignments!$C$2:$C$27,StudentAssignments!$G$2:$G$27)</f>
        <v>Yes</v>
      </c>
      <c r="I27" s="2" t="str">
        <f t="array" ref="I27">XLOOKUP(StudentTracker!C27,'Certificate Score'!$C$2:$C$27,'Certificate Score'!$J$2:$J$27)</f>
        <v>Good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27"/>
  <conditionalFormatting sqref="E2:E27">
    <cfRule type="cellIs" dxfId="1" priority="1" operator="greaterThanOrEqual">
      <formula>0.8</formula>
    </cfRule>
  </conditionalFormatting>
  <conditionalFormatting sqref="E2:E27">
    <cfRule type="cellIs" dxfId="0" priority="2" operator="lessThan">
      <formula>0.8</formula>
    </cfRule>
  </conditionalFormatting>
  <conditionalFormatting sqref="I2:I27 A2:C27">
    <cfRule type="expression" dxfId="0" priority="3">
      <formula>$I2:$I27="Fail"</formula>
    </cfRule>
  </conditionalFormatting>
  <conditionalFormatting sqref="I2:I27 A2:C27">
    <cfRule type="expression" dxfId="2" priority="4">
      <formula>$I2:$I27="Excellent"</formula>
    </cfRule>
  </conditionalFormatting>
  <conditionalFormatting sqref="A2:C27 I2:I27">
    <cfRule type="expression" dxfId="3" priority="5">
      <formula>$I2:$I27="Good"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25"/>
    <col customWidth="1" min="3" max="3" width="20.5"/>
    <col customWidth="1" min="4" max="4" width="14.13"/>
    <col customWidth="1" min="5" max="5" width="19.88"/>
    <col customWidth="1" min="6" max="6" width="13.5"/>
    <col customWidth="1" min="7" max="7" width="14.13"/>
    <col customWidth="1" min="8" max="8" width="12.75"/>
    <col customWidth="1" min="9" max="9" width="14.25"/>
    <col customWidth="1" min="10" max="10" width="14.38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65</v>
      </c>
      <c r="G1" s="1" t="s">
        <v>66</v>
      </c>
      <c r="H1" s="1" t="s">
        <v>67</v>
      </c>
      <c r="I1" s="1" t="s">
        <v>71</v>
      </c>
      <c r="J1" s="17" t="s">
        <v>72</v>
      </c>
      <c r="M1" s="18" t="s">
        <v>73</v>
      </c>
      <c r="N1" s="19"/>
      <c r="O1" s="19"/>
      <c r="P1" s="19"/>
      <c r="Q1" s="19"/>
      <c r="R1" s="19"/>
      <c r="S1" s="19"/>
      <c r="T1" s="19"/>
      <c r="U1" s="19"/>
      <c r="V1" s="20"/>
    </row>
    <row r="2">
      <c r="A2" s="2" t="s">
        <v>4</v>
      </c>
      <c r="B2" s="2" t="s">
        <v>5</v>
      </c>
      <c r="C2" s="2" t="str">
        <f t="shared" ref="C2:C27" si="1">A2&amp;B2&amp;"@gmail.com"</f>
        <v>JohnMakaron@gmail.com</v>
      </c>
      <c r="D2" s="2" t="s">
        <v>6</v>
      </c>
      <c r="E2" s="2">
        <f t="shared" ref="E2:E27" si="2">ROUND(SUM(F2:I2),0)</f>
        <v>88</v>
      </c>
      <c r="F2" s="2">
        <f t="array" ref="F2">ROUND(XLOOKUP(C2,StudentTracker!$C$2:$C$27,StudentTracker!$E$2:$E$27),2)*40</f>
        <v>32</v>
      </c>
      <c r="G2" s="2">
        <f t="array" ref="G2">ROUND(XLOOKUP(C2,StudentTracker!$C$2:$C$27,StudentTracker!$F$2:$F$27),1)*0.15</f>
        <v>12.75</v>
      </c>
      <c r="H2" s="2">
        <f t="array" ref="H2">ROUND(XLOOKUP(C2,StudentTracker!$C$2:$C$27,StudentTracker!$G$2:$G$27),2)*0.15</f>
        <v>13.05</v>
      </c>
      <c r="I2" s="2">
        <f t="array" ref="I2">IF(XLOOKUP(C2,StudentTracker!$C$2:$C$27,StudentTracker!$H$2:$H$27)="Yes",30,0)</f>
        <v>30</v>
      </c>
      <c r="J2" s="14" t="str">
        <f t="shared" ref="J2:J27" si="3">IFS(E2&lt;70,"Fail",E2&gt;85,"Excellent",OR(E2&lt;=85,E2&gt;=70),"Good")</f>
        <v>Excellent</v>
      </c>
      <c r="M2" s="21"/>
      <c r="N2" s="21"/>
      <c r="O2" s="21"/>
      <c r="P2" s="21"/>
      <c r="Q2" s="21"/>
      <c r="R2" s="21"/>
      <c r="S2" s="21"/>
      <c r="T2" s="21"/>
      <c r="U2" s="21" t="s">
        <v>74</v>
      </c>
      <c r="V2" s="21"/>
    </row>
    <row r="3">
      <c r="A3" s="2" t="s">
        <v>7</v>
      </c>
      <c r="B3" s="2" t="s">
        <v>8</v>
      </c>
      <c r="C3" s="2" t="str">
        <f t="shared" si="1"/>
        <v>ElvisBond@gmail.com</v>
      </c>
      <c r="D3" s="2" t="s">
        <v>9</v>
      </c>
      <c r="E3" s="2">
        <f t="shared" si="2"/>
        <v>98</v>
      </c>
      <c r="F3" s="2">
        <f t="array" ref="F3">ROUND(XLOOKUP(C3,StudentTracker!$C$2:$C$27,StudentTracker!$E$2:$E$27),2)*40</f>
        <v>40</v>
      </c>
      <c r="G3" s="2">
        <f t="array" ref="G3">ROUND(XLOOKUP(C3,StudentTracker!$C$2:$C$27,StudentTracker!$F$2:$F$27),0)*0.15</f>
        <v>14.4</v>
      </c>
      <c r="H3" s="2">
        <f t="array" ref="H3">ROUND(XLOOKUP(C3,StudentTracker!$C$2:$C$27,StudentTracker!$G$2:$G$27),2)*0.15</f>
        <v>13.2</v>
      </c>
      <c r="I3" s="2">
        <f t="array" ref="I3">IF(XLOOKUP(C3,StudentTracker!$C$2:$C$27,StudentTracker!$H$2:$H$27)="Yes",30,0)</f>
        <v>30</v>
      </c>
      <c r="J3" s="14" t="str">
        <f t="shared" si="3"/>
        <v>Excellent</v>
      </c>
      <c r="M3" s="21"/>
      <c r="N3" s="22" t="s">
        <v>75</v>
      </c>
      <c r="O3" s="23"/>
      <c r="P3" s="23"/>
      <c r="Q3" s="23"/>
      <c r="R3" s="23"/>
      <c r="S3" s="23"/>
      <c r="T3" s="23"/>
      <c r="U3" s="24">
        <v>40.0</v>
      </c>
      <c r="V3" s="21"/>
    </row>
    <row r="4">
      <c r="A4" s="2" t="s">
        <v>10</v>
      </c>
      <c r="B4" s="2" t="s">
        <v>11</v>
      </c>
      <c r="C4" s="2" t="str">
        <f t="shared" si="1"/>
        <v>MaryGas@gmail.com</v>
      </c>
      <c r="D4" s="2" t="s">
        <v>9</v>
      </c>
      <c r="E4" s="2">
        <f t="shared" si="2"/>
        <v>58</v>
      </c>
      <c r="F4" s="2">
        <f t="array" ref="F4">ROUND(XLOOKUP(C4,StudentTracker!$C$2:$C$27,StudentTracker!$E$2:$E$27),2)*40</f>
        <v>40</v>
      </c>
      <c r="G4" s="2">
        <f t="array" ref="G4">ROUND(XLOOKUP(C4,StudentTracker!$C$2:$C$27,StudentTracker!$F$2:$F$27),0)*0.15</f>
        <v>8.25</v>
      </c>
      <c r="H4" s="2">
        <f t="array" ref="H4">ROUND(XLOOKUP(C4,StudentTracker!$C$2:$C$27,StudentTracker!$G$2:$G$27),2)*0.15</f>
        <v>9.9</v>
      </c>
      <c r="I4" s="2">
        <f t="array" ref="I4">IF(XLOOKUP(C4,StudentTracker!$C$2:$C$27,StudentTracker!$H$2:$H$27)="Yes",30,0)</f>
        <v>0</v>
      </c>
      <c r="J4" s="14" t="str">
        <f t="shared" si="3"/>
        <v>Fail</v>
      </c>
      <c r="M4" s="21"/>
      <c r="N4" s="25" t="s">
        <v>76</v>
      </c>
      <c r="O4" s="26"/>
      <c r="P4" s="26"/>
      <c r="Q4" s="26"/>
      <c r="R4" s="26"/>
      <c r="S4" s="26"/>
      <c r="T4" s="26"/>
      <c r="U4" s="27">
        <v>15.0</v>
      </c>
      <c r="V4" s="21"/>
    </row>
    <row r="5">
      <c r="A5" s="2" t="s">
        <v>12</v>
      </c>
      <c r="B5" s="2" t="s">
        <v>13</v>
      </c>
      <c r="C5" s="2" t="str">
        <f t="shared" si="1"/>
        <v>OliviaMatt@gmail.com</v>
      </c>
      <c r="D5" s="2" t="s">
        <v>6</v>
      </c>
      <c r="E5" s="2">
        <f t="shared" si="2"/>
        <v>86</v>
      </c>
      <c r="F5" s="2">
        <f t="array" ref="F5">ROUND(XLOOKUP(C5,StudentTracker!$C$2:$C$27,StudentTracker!$E$2:$E$27),2)*40</f>
        <v>32</v>
      </c>
      <c r="G5" s="2">
        <f t="array" ref="G5">ROUND(XLOOKUP(C5,StudentTracker!$C$2:$C$27,StudentTracker!$F$2:$F$27),0)*0.15</f>
        <v>13.2</v>
      </c>
      <c r="H5" s="2">
        <f t="array" ref="H5">ROUND(XLOOKUP(C5,StudentTracker!$C$2:$C$27,StudentTracker!$G$2:$G$27),2)*0.15</f>
        <v>11.25</v>
      </c>
      <c r="I5" s="2">
        <f t="array" ref="I5">IF(XLOOKUP(C5,StudentTracker!$C$2:$C$27,StudentTracker!$H$2:$H$27)="Yes",30,0)</f>
        <v>30</v>
      </c>
      <c r="J5" s="14" t="str">
        <f t="shared" si="3"/>
        <v>Excellent</v>
      </c>
      <c r="M5" s="21"/>
      <c r="N5" s="25" t="s">
        <v>77</v>
      </c>
      <c r="O5" s="26"/>
      <c r="P5" s="26"/>
      <c r="Q5" s="26"/>
      <c r="R5" s="26"/>
      <c r="S5" s="26"/>
      <c r="T5" s="26"/>
      <c r="U5" s="27">
        <v>15.0</v>
      </c>
      <c r="V5" s="21"/>
    </row>
    <row r="6">
      <c r="A6" s="2" t="s">
        <v>14</v>
      </c>
      <c r="B6" s="2" t="s">
        <v>15</v>
      </c>
      <c r="C6" s="2" t="str">
        <f t="shared" si="1"/>
        <v>RobertHus@gmail.com</v>
      </c>
      <c r="D6" s="2" t="s">
        <v>9</v>
      </c>
      <c r="E6" s="2">
        <f t="shared" si="2"/>
        <v>97</v>
      </c>
      <c r="F6" s="2">
        <f t="array" ref="F6">ROUND(XLOOKUP(C6,StudentTracker!$C$2:$C$27,StudentTracker!$E$2:$E$27),2)*40</f>
        <v>40</v>
      </c>
      <c r="G6" s="2">
        <f t="array" ref="G6">ROUND(XLOOKUP(C6,StudentTracker!$C$2:$C$27,StudentTracker!$F$2:$F$27),0)*0.15</f>
        <v>12.15</v>
      </c>
      <c r="H6" s="2">
        <f t="array" ref="H6">ROUND(XLOOKUP(C6,StudentTracker!$C$2:$C$27,StudentTracker!$G$2:$G$27),2)*0.15</f>
        <v>14.85</v>
      </c>
      <c r="I6" s="2">
        <f t="array" ref="I6">IF(XLOOKUP(C6,StudentTracker!$C$2:$C$27,StudentTracker!$H$2:$H$27)="Yes",30,0)</f>
        <v>30</v>
      </c>
      <c r="J6" s="14" t="str">
        <f t="shared" si="3"/>
        <v>Excellent</v>
      </c>
      <c r="M6" s="21"/>
      <c r="N6" s="28" t="s">
        <v>78</v>
      </c>
      <c r="O6" s="29"/>
      <c r="P6" s="29"/>
      <c r="Q6" s="29"/>
      <c r="R6" s="29"/>
      <c r="S6" s="29"/>
      <c r="T6" s="29"/>
      <c r="U6" s="30">
        <v>30.0</v>
      </c>
      <c r="V6" s="21"/>
    </row>
    <row r="7">
      <c r="A7" s="2" t="s">
        <v>16</v>
      </c>
      <c r="B7" s="2" t="s">
        <v>17</v>
      </c>
      <c r="C7" s="2" t="str">
        <f t="shared" si="1"/>
        <v>OmarKasim@gmail.com</v>
      </c>
      <c r="D7" s="2" t="s">
        <v>9</v>
      </c>
      <c r="E7" s="2">
        <f t="shared" si="2"/>
        <v>71</v>
      </c>
      <c r="F7" s="2">
        <f t="array" ref="F7">ROUND(XLOOKUP(C7,StudentTracker!$C$2:$C$27,StudentTracker!$E$2:$E$27),2)*40</f>
        <v>16</v>
      </c>
      <c r="G7" s="2">
        <f t="array" ref="G7">ROUND(XLOOKUP(C7,StudentTracker!$C$2:$C$27,StudentTracker!$F$2:$F$27),0)*0.15</f>
        <v>11.55</v>
      </c>
      <c r="H7" s="2">
        <f t="array" ref="H7">ROUND(XLOOKUP(C7,StudentTracker!$C$2:$C$27,StudentTracker!$G$2:$G$27),2)*0.15</f>
        <v>13.05</v>
      </c>
      <c r="I7" s="2">
        <f t="array" ref="I7">IF(XLOOKUP(C7,StudentTracker!$C$2:$C$27,StudentTracker!$H$2:$H$27)="Yes",30,0)</f>
        <v>30</v>
      </c>
      <c r="J7" s="14" t="str">
        <f t="shared" si="3"/>
        <v>Good</v>
      </c>
      <c r="M7" s="21"/>
      <c r="N7" s="31" t="s">
        <v>79</v>
      </c>
      <c r="O7" s="32"/>
      <c r="P7" s="32"/>
      <c r="Q7" s="32"/>
      <c r="R7" s="32"/>
      <c r="S7" s="32"/>
      <c r="T7" s="32"/>
      <c r="U7" s="33">
        <v>100.0</v>
      </c>
      <c r="V7" s="21"/>
    </row>
    <row r="8">
      <c r="A8" s="2" t="s">
        <v>18</v>
      </c>
      <c r="B8" s="2" t="s">
        <v>19</v>
      </c>
      <c r="C8" s="2" t="str">
        <f t="shared" si="1"/>
        <v>DianaPinto@gmail.com</v>
      </c>
      <c r="D8" s="2" t="s">
        <v>6</v>
      </c>
      <c r="E8" s="2">
        <f t="shared" si="2"/>
        <v>61</v>
      </c>
      <c r="F8" s="2">
        <f t="array" ref="F8">ROUND(XLOOKUP(C8,StudentTracker!$C$2:$C$27,StudentTracker!$E$2:$E$27),2)*40</f>
        <v>16</v>
      </c>
      <c r="G8" s="2">
        <f t="array" ref="G8">ROUND(XLOOKUP(C8,StudentTracker!$C$2:$C$27,StudentTracker!$F$2:$F$27),0)*0.15</f>
        <v>10.35</v>
      </c>
      <c r="H8" s="2">
        <f t="array" ref="H8">ROUND(XLOOKUP(C8,StudentTracker!$C$2:$C$27,StudentTracker!$G$2:$G$27),2)*0.15</f>
        <v>4.95</v>
      </c>
      <c r="I8" s="2">
        <f t="array" ref="I8">IF(XLOOKUP(C8,StudentTracker!$C$2:$C$27,StudentTracker!$H$2:$H$27)="Yes",30,0)</f>
        <v>30</v>
      </c>
      <c r="J8" s="14" t="str">
        <f t="shared" si="3"/>
        <v>Fail</v>
      </c>
      <c r="M8" s="21"/>
      <c r="N8" s="34" t="s">
        <v>80</v>
      </c>
      <c r="O8" s="34"/>
      <c r="P8" s="34"/>
      <c r="Q8" s="34"/>
      <c r="R8" s="34"/>
      <c r="S8" s="34"/>
      <c r="T8" s="34"/>
      <c r="U8" s="35" t="s">
        <v>81</v>
      </c>
      <c r="V8" s="21"/>
    </row>
    <row r="9">
      <c r="A9" s="2" t="s">
        <v>20</v>
      </c>
      <c r="B9" s="2" t="s">
        <v>21</v>
      </c>
      <c r="C9" s="2" t="str">
        <f t="shared" si="1"/>
        <v>DenisRodman@gmail.com</v>
      </c>
      <c r="D9" s="2" t="s">
        <v>9</v>
      </c>
      <c r="E9" s="2">
        <f t="shared" si="2"/>
        <v>86</v>
      </c>
      <c r="F9" s="2">
        <f t="array" ref="F9">ROUND(XLOOKUP(C9,StudentTracker!$C$2:$C$27,StudentTracker!$E$2:$E$27),2)*40</f>
        <v>32</v>
      </c>
      <c r="G9" s="2">
        <f t="array" ref="G9">ROUND(XLOOKUP(C9,StudentTracker!$C$2:$C$27,StudentTracker!$F$2:$F$27),0)*0.15</f>
        <v>12</v>
      </c>
      <c r="H9" s="2">
        <f t="array" ref="H9">ROUND(XLOOKUP(C9,StudentTracker!$C$2:$C$27,StudentTracker!$G$2:$G$27),2)*0.15</f>
        <v>11.7</v>
      </c>
      <c r="I9" s="2">
        <f t="array" ref="I9">IF(XLOOKUP(C9,StudentTracker!$C$2:$C$27,StudentTracker!$H$2:$H$27)="Yes",30,0)</f>
        <v>30</v>
      </c>
      <c r="J9" s="14" t="str">
        <f t="shared" si="3"/>
        <v>Excellent</v>
      </c>
      <c r="M9" s="21"/>
      <c r="N9" s="36" t="s">
        <v>82</v>
      </c>
      <c r="O9" s="36"/>
      <c r="P9" s="36"/>
      <c r="Q9" s="36"/>
      <c r="R9" s="36"/>
      <c r="S9" s="36"/>
      <c r="T9" s="36"/>
      <c r="U9" s="37" t="s">
        <v>83</v>
      </c>
      <c r="V9" s="21"/>
    </row>
    <row r="10">
      <c r="A10" s="2" t="s">
        <v>22</v>
      </c>
      <c r="B10" s="2" t="s">
        <v>23</v>
      </c>
      <c r="C10" s="2" t="str">
        <f t="shared" si="1"/>
        <v>KatePotter@gmail.com</v>
      </c>
      <c r="D10" s="2" t="s">
        <v>6</v>
      </c>
      <c r="E10" s="2">
        <f t="shared" si="2"/>
        <v>98</v>
      </c>
      <c r="F10" s="2">
        <f t="array" ref="F10">ROUND(XLOOKUP(C10,StudentTracker!$C$2:$C$27,StudentTracker!$E$2:$E$27),2)*40</f>
        <v>40</v>
      </c>
      <c r="G10" s="2">
        <f t="array" ref="G10">ROUND(XLOOKUP(C10,StudentTracker!$C$2:$C$27,StudentTracker!$F$2:$F$27),0)*0.15</f>
        <v>15</v>
      </c>
      <c r="H10" s="2">
        <f t="array" ref="H10">ROUND(XLOOKUP(C10,StudentTracker!$C$2:$C$27,StudentTracker!$G$2:$G$27),2)*0.15</f>
        <v>12.6</v>
      </c>
      <c r="I10" s="2">
        <f t="array" ref="I10">IF(XLOOKUP(C10,StudentTracker!$C$2:$C$27,StudentTracker!$H$2:$H$27)="Yes",30,0)</f>
        <v>30</v>
      </c>
      <c r="J10" s="14" t="str">
        <f t="shared" si="3"/>
        <v>Excellent</v>
      </c>
      <c r="M10" s="21"/>
      <c r="N10" s="38" t="s">
        <v>84</v>
      </c>
      <c r="O10" s="38"/>
      <c r="P10" s="38"/>
      <c r="Q10" s="38"/>
      <c r="R10" s="38"/>
      <c r="S10" s="38"/>
      <c r="T10" s="38"/>
      <c r="U10" s="39" t="s">
        <v>85</v>
      </c>
      <c r="V10" s="21"/>
    </row>
    <row r="11">
      <c r="A11" s="2" t="s">
        <v>24</v>
      </c>
      <c r="B11" s="2" t="s">
        <v>25</v>
      </c>
      <c r="C11" s="2" t="str">
        <f t="shared" si="1"/>
        <v>MannyPac@gmail.com</v>
      </c>
      <c r="D11" s="2" t="s">
        <v>6</v>
      </c>
      <c r="E11" s="2">
        <f t="shared" si="2"/>
        <v>76</v>
      </c>
      <c r="F11" s="2">
        <f t="array" ref="F11">ROUND(XLOOKUP(C11,StudentTracker!$C$2:$C$27,StudentTracker!$E$2:$E$27),2)*40</f>
        <v>24</v>
      </c>
      <c r="G11" s="2">
        <f t="array" ref="G11">ROUND(XLOOKUP(C11,StudentTracker!$C$2:$C$27,StudentTracker!$F$2:$F$27),0)*0.15</f>
        <v>10.5</v>
      </c>
      <c r="H11" s="2">
        <f t="array" ref="H11">ROUND(XLOOKUP(C11,StudentTracker!$C$2:$C$27,StudentTracker!$G$2:$G$27),2)*0.15</f>
        <v>11.85</v>
      </c>
      <c r="I11" s="2">
        <f t="array" ref="I11">IF(XLOOKUP(C11,StudentTracker!$C$2:$C$27,StudentTracker!$H$2:$H$27)="Yes",30,0)</f>
        <v>30</v>
      </c>
      <c r="J11" s="14" t="str">
        <f t="shared" si="3"/>
        <v>Good</v>
      </c>
    </row>
    <row r="12">
      <c r="A12" s="2" t="s">
        <v>26</v>
      </c>
      <c r="B12" s="2" t="s">
        <v>27</v>
      </c>
      <c r="C12" s="2" t="str">
        <f t="shared" si="1"/>
        <v>KatyPerri@gmail.com</v>
      </c>
      <c r="D12" s="2" t="s">
        <v>6</v>
      </c>
      <c r="E12" s="2">
        <f t="shared" si="2"/>
        <v>91</v>
      </c>
      <c r="F12" s="2">
        <f t="array" ref="F12">ROUND(XLOOKUP(C12,StudentTracker!$C$2:$C$27,StudentTracker!$E$2:$E$27),2)*40</f>
        <v>40</v>
      </c>
      <c r="G12" s="2">
        <f t="array" ref="G12">ROUND(XLOOKUP(C12,StudentTracker!$C$2:$C$27,StudentTracker!$F$2:$F$27),0)*0.15</f>
        <v>6.45</v>
      </c>
      <c r="H12" s="2">
        <f t="array" ref="H12">ROUND(XLOOKUP(C12,StudentTracker!$C$2:$C$27,StudentTracker!$G$2:$G$27),2)*0.15</f>
        <v>15</v>
      </c>
      <c r="I12" s="2">
        <f t="array" ref="I12">IF(XLOOKUP(C12,StudentTracker!$C$2:$C$27,StudentTracker!$H$2:$H$27)="Yes",30,0)</f>
        <v>30</v>
      </c>
      <c r="J12" s="14" t="str">
        <f t="shared" si="3"/>
        <v>Excellent</v>
      </c>
    </row>
    <row r="13">
      <c r="A13" s="2" t="s">
        <v>28</v>
      </c>
      <c r="B13" s="2" t="s">
        <v>29</v>
      </c>
      <c r="C13" s="2" t="str">
        <f t="shared" si="1"/>
        <v>AntonyWard@gmail.com</v>
      </c>
      <c r="D13" s="2" t="s">
        <v>6</v>
      </c>
      <c r="E13" s="2">
        <f t="shared" si="2"/>
        <v>88</v>
      </c>
      <c r="F13" s="2">
        <f t="array" ref="F13">ROUND(XLOOKUP(C13,StudentTracker!$C$2:$C$27,StudentTracker!$E$2:$E$27),2)*40</f>
        <v>32</v>
      </c>
      <c r="G13" s="2">
        <f t="array" ref="G13">ROUND(XLOOKUP(C13,StudentTracker!$C$2:$C$27,StudentTracker!$F$2:$F$27),0)*0.15</f>
        <v>12.3</v>
      </c>
      <c r="H13" s="2">
        <f t="array" ref="H13">ROUND(XLOOKUP(C13,StudentTracker!$C$2:$C$27,StudentTracker!$G$2:$G$27),2)*0.15</f>
        <v>13.2</v>
      </c>
      <c r="I13" s="2">
        <f t="array" ref="I13">IF(XLOOKUP(C13,StudentTracker!$C$2:$C$27,StudentTracker!$H$2:$H$27)="Yes",30,0)</f>
        <v>30</v>
      </c>
      <c r="J13" s="14" t="str">
        <f t="shared" si="3"/>
        <v>Excellent</v>
      </c>
    </row>
    <row r="14">
      <c r="A14" s="2" t="s">
        <v>30</v>
      </c>
      <c r="B14" s="2" t="s">
        <v>31</v>
      </c>
      <c r="C14" s="2" t="str">
        <f t="shared" si="1"/>
        <v>BillySane@gmail.com</v>
      </c>
      <c r="D14" s="2" t="s">
        <v>6</v>
      </c>
      <c r="E14" s="2">
        <f t="shared" si="2"/>
        <v>77</v>
      </c>
      <c r="F14" s="2">
        <f t="array" ref="F14">ROUND(XLOOKUP(C14,StudentTracker!$C$2:$C$27,StudentTracker!$E$2:$E$27),2)*40</f>
        <v>24</v>
      </c>
      <c r="G14" s="2">
        <f t="array" ref="G14">ROUND(XLOOKUP(C14,StudentTracker!$C$2:$C$27,StudentTracker!$F$2:$F$27),0)*0.15</f>
        <v>11.25</v>
      </c>
      <c r="H14" s="2">
        <f t="array" ref="H14">ROUND(XLOOKUP(C14,StudentTracker!$C$2:$C$27,StudentTracker!$G$2:$G$27),2)*0.15</f>
        <v>12.15</v>
      </c>
      <c r="I14" s="2">
        <f t="array" ref="I14">IF(XLOOKUP(C14,StudentTracker!$C$2:$C$27,StudentTracker!$H$2:$H$27)="Yes",30,0)</f>
        <v>30</v>
      </c>
      <c r="J14" s="14" t="str">
        <f t="shared" si="3"/>
        <v>Good</v>
      </c>
    </row>
    <row r="15">
      <c r="A15" s="2" t="s">
        <v>32</v>
      </c>
      <c r="B15" s="2" t="s">
        <v>33</v>
      </c>
      <c r="C15" s="2" t="str">
        <f t="shared" si="1"/>
        <v>RonaldConnan@gmail.com</v>
      </c>
      <c r="D15" s="2" t="s">
        <v>6</v>
      </c>
      <c r="E15" s="2">
        <f t="shared" si="2"/>
        <v>56</v>
      </c>
      <c r="F15" s="2">
        <f t="array" ref="F15">ROUND(XLOOKUP(C15,StudentTracker!$C$2:$C$27,StudentTracker!$E$2:$E$27),2)*40</f>
        <v>0</v>
      </c>
      <c r="G15" s="2">
        <f t="array" ref="G15">ROUND(XLOOKUP(C15,StudentTracker!$C$2:$C$27,StudentTracker!$F$2:$F$27),0)*0.15</f>
        <v>13.8</v>
      </c>
      <c r="H15" s="2">
        <f t="array" ref="H15">ROUND(XLOOKUP(C15,StudentTracker!$C$2:$C$27,StudentTracker!$G$2:$G$27),2)*0.15</f>
        <v>11.85</v>
      </c>
      <c r="I15" s="2">
        <f t="array" ref="I15">IF(XLOOKUP(C15,StudentTracker!$C$2:$C$27,StudentTracker!$H$2:$H$27)="Yes",30,0)</f>
        <v>30</v>
      </c>
      <c r="J15" s="14" t="str">
        <f t="shared" si="3"/>
        <v>Fail</v>
      </c>
    </row>
    <row r="16">
      <c r="A16" s="2" t="s">
        <v>4</v>
      </c>
      <c r="B16" s="2" t="s">
        <v>34</v>
      </c>
      <c r="C16" s="2" t="str">
        <f t="shared" si="1"/>
        <v>JohnBaderas@gmail.com</v>
      </c>
      <c r="D16" s="2" t="s">
        <v>9</v>
      </c>
      <c r="E16" s="2">
        <f t="shared" si="2"/>
        <v>85</v>
      </c>
      <c r="F16" s="2">
        <f t="array" ref="F16">ROUND(XLOOKUP(C16,StudentTracker!$C$2:$C$27,StudentTracker!$E$2:$E$27),2)*40</f>
        <v>32</v>
      </c>
      <c r="G16" s="2">
        <f t="array" ref="G16">ROUND(XLOOKUP(C16,StudentTracker!$C$2:$C$27,StudentTracker!$F$2:$F$27),0)*0.15</f>
        <v>9</v>
      </c>
      <c r="H16" s="2">
        <f t="array" ref="H16">ROUND(XLOOKUP(C16,StudentTracker!$C$2:$C$27,StudentTracker!$G$2:$G$27),2)*0.15</f>
        <v>14.1</v>
      </c>
      <c r="I16" s="2">
        <f t="array" ref="I16">IF(XLOOKUP(C16,StudentTracker!$C$2:$C$27,StudentTracker!$H$2:$H$27)="Yes",30,0)</f>
        <v>30</v>
      </c>
      <c r="J16" s="14" t="str">
        <f t="shared" si="3"/>
        <v>Good</v>
      </c>
    </row>
    <row r="17">
      <c r="A17" s="2" t="s">
        <v>32</v>
      </c>
      <c r="B17" s="2" t="s">
        <v>33</v>
      </c>
      <c r="C17" s="2" t="str">
        <f t="shared" si="1"/>
        <v>RonaldConnan@gmail.com</v>
      </c>
      <c r="D17" s="2" t="s">
        <v>9</v>
      </c>
      <c r="E17" s="2">
        <f t="shared" si="2"/>
        <v>56</v>
      </c>
      <c r="F17" s="2">
        <f t="array" ref="F17">ROUND(XLOOKUP(C17,StudentTracker!$C$2:$C$27,StudentTracker!$E$2:$E$27),2)*40</f>
        <v>0</v>
      </c>
      <c r="G17" s="2">
        <f t="array" ref="G17">ROUND(XLOOKUP(C17,StudentTracker!$C$2:$C$27,StudentTracker!$F$2:$F$27),0)*0.15</f>
        <v>13.8</v>
      </c>
      <c r="H17" s="2">
        <f t="array" ref="H17">ROUND(XLOOKUP(C17,StudentTracker!$C$2:$C$27,StudentTracker!$G$2:$G$27),2)*0.15</f>
        <v>11.85</v>
      </c>
      <c r="I17" s="2">
        <f t="array" ref="I17">IF(XLOOKUP(C17,StudentTracker!$C$2:$C$27,StudentTracker!$H$2:$H$27)="Yes",30,0)</f>
        <v>30</v>
      </c>
      <c r="J17" s="14" t="str">
        <f t="shared" si="3"/>
        <v>Fail</v>
      </c>
    </row>
    <row r="18">
      <c r="A18" s="2" t="s">
        <v>35</v>
      </c>
      <c r="B18" s="2" t="s">
        <v>36</v>
      </c>
      <c r="C18" s="2" t="str">
        <f t="shared" si="1"/>
        <v>DennisMenace@gmail.com</v>
      </c>
      <c r="D18" s="2" t="s">
        <v>9</v>
      </c>
      <c r="E18" s="2">
        <f t="shared" si="2"/>
        <v>96</v>
      </c>
      <c r="F18" s="2">
        <f t="array" ref="F18">ROUND(XLOOKUP(C18,StudentTracker!$C$2:$C$27,StudentTracker!$E$2:$E$27),2)*40</f>
        <v>40</v>
      </c>
      <c r="G18" s="2">
        <f t="array" ref="G18">ROUND(XLOOKUP(C18,StudentTracker!$C$2:$C$27,StudentTracker!$F$2:$F$27),0)*0.15</f>
        <v>10.95</v>
      </c>
      <c r="H18" s="2">
        <f t="array" ref="H18">ROUND(XLOOKUP(C18,StudentTracker!$C$2:$C$27,StudentTracker!$G$2:$G$27),2)*0.15</f>
        <v>14.85</v>
      </c>
      <c r="I18" s="2">
        <f t="array" ref="I18">IF(XLOOKUP(C18,StudentTracker!$C$2:$C$27,StudentTracker!$H$2:$H$27)="Yes",30,0)</f>
        <v>30</v>
      </c>
      <c r="J18" s="14" t="str">
        <f t="shared" si="3"/>
        <v>Excellent</v>
      </c>
    </row>
    <row r="19">
      <c r="A19" s="2" t="s">
        <v>32</v>
      </c>
      <c r="B19" s="2" t="s">
        <v>37</v>
      </c>
      <c r="C19" s="2" t="str">
        <f t="shared" si="1"/>
        <v>RonaldPape@gmail.com</v>
      </c>
      <c r="D19" s="2" t="s">
        <v>9</v>
      </c>
      <c r="E19" s="2">
        <f t="shared" si="2"/>
        <v>77</v>
      </c>
      <c r="F19" s="2">
        <f t="array" ref="F19">ROUND(XLOOKUP(C19,StudentTracker!$C$2:$C$27,StudentTracker!$E$2:$E$27),2)*40</f>
        <v>24</v>
      </c>
      <c r="G19" s="2">
        <f t="array" ref="G19">ROUND(XLOOKUP(C19,StudentTracker!$C$2:$C$27,StudentTracker!$F$2:$F$27),0)*0.15</f>
        <v>12.6</v>
      </c>
      <c r="H19" s="2">
        <f t="array" ref="H19">ROUND(XLOOKUP(C19,StudentTracker!$C$2:$C$27,StudentTracker!$G$2:$G$27),2)*0.15</f>
        <v>10.2</v>
      </c>
      <c r="I19" s="2">
        <f t="array" ref="I19">IF(XLOOKUP(C19,StudentTracker!$C$2:$C$27,StudentTracker!$H$2:$H$27)="Yes",30,0)</f>
        <v>30</v>
      </c>
      <c r="J19" s="14" t="str">
        <f t="shared" si="3"/>
        <v>Good</v>
      </c>
    </row>
    <row r="20">
      <c r="A20" s="2" t="s">
        <v>38</v>
      </c>
      <c r="B20" s="2" t="s">
        <v>39</v>
      </c>
      <c r="C20" s="2" t="str">
        <f t="shared" si="1"/>
        <v>WalidMatip@gmail.com</v>
      </c>
      <c r="D20" s="2" t="s">
        <v>9</v>
      </c>
      <c r="E20" s="2">
        <f t="shared" si="2"/>
        <v>95</v>
      </c>
      <c r="F20" s="2">
        <f t="array" ref="F20">ROUND(XLOOKUP(C20,StudentTracker!$C$2:$C$27,StudentTracker!$E$2:$E$27),2)*40</f>
        <v>40</v>
      </c>
      <c r="G20" s="2">
        <f t="array" ref="G20">ROUND(XLOOKUP(C20,StudentTracker!$C$2:$C$27,StudentTracker!$F$2:$F$27),0)*0.15</f>
        <v>13.2</v>
      </c>
      <c r="H20" s="2">
        <f t="array" ref="H20">ROUND(XLOOKUP(C20,StudentTracker!$C$2:$C$27,StudentTracker!$G$2:$G$27),2)*0.15</f>
        <v>12</v>
      </c>
      <c r="I20" s="2">
        <f t="array" ref="I20">IF(XLOOKUP(C20,StudentTracker!$C$2:$C$27,StudentTracker!$H$2:$H$27)="Yes",30,0)</f>
        <v>30</v>
      </c>
      <c r="J20" s="14" t="str">
        <f t="shared" si="3"/>
        <v>Excellent</v>
      </c>
    </row>
    <row r="21" ht="15.75" customHeight="1">
      <c r="A21" s="2" t="s">
        <v>40</v>
      </c>
      <c r="B21" s="2" t="s">
        <v>41</v>
      </c>
      <c r="C21" s="2" t="str">
        <f t="shared" si="1"/>
        <v>DonnaCorleone@gmail.com</v>
      </c>
      <c r="D21" s="2" t="s">
        <v>9</v>
      </c>
      <c r="E21" s="2">
        <f t="shared" si="2"/>
        <v>90</v>
      </c>
      <c r="F21" s="2">
        <f t="array" ref="F21">ROUND(XLOOKUP(C21,StudentTracker!$C$2:$C$27,StudentTracker!$E$2:$E$27),2)*40</f>
        <v>32</v>
      </c>
      <c r="G21" s="2">
        <f t="array" ref="G21">ROUND(XLOOKUP(C21,StudentTracker!$C$2:$C$27,StudentTracker!$F$2:$F$27),0)*0.15</f>
        <v>14.4</v>
      </c>
      <c r="H21" s="2">
        <f t="array" ref="H21">ROUND(XLOOKUP(C21,StudentTracker!$C$2:$C$27,StudentTracker!$G$2:$G$27),2)*0.15</f>
        <v>13.5</v>
      </c>
      <c r="I21" s="2">
        <f t="array" ref="I21">IF(XLOOKUP(C21,StudentTracker!$C$2:$C$27,StudentTracker!$H$2:$H$27)="Yes",30,0)</f>
        <v>30</v>
      </c>
      <c r="J21" s="14" t="str">
        <f t="shared" si="3"/>
        <v>Excellent</v>
      </c>
    </row>
    <row r="22" ht="15.75" customHeight="1">
      <c r="A22" s="2" t="s">
        <v>10</v>
      </c>
      <c r="B22" s="2" t="s">
        <v>33</v>
      </c>
      <c r="C22" s="2" t="str">
        <f t="shared" si="1"/>
        <v>MaryConnan@gmail.com</v>
      </c>
      <c r="D22" s="2" t="s">
        <v>9</v>
      </c>
      <c r="E22" s="2">
        <f t="shared" si="2"/>
        <v>83</v>
      </c>
      <c r="F22" s="2">
        <f t="array" ref="F22">ROUND(XLOOKUP(C22,StudentTracker!$C$2:$C$27,StudentTracker!$E$2:$E$27),2)*40</f>
        <v>24</v>
      </c>
      <c r="G22" s="2">
        <f t="array" ref="G22">ROUND(XLOOKUP(C22,StudentTracker!$C$2:$C$27,StudentTracker!$F$2:$F$27),0)*0.15</f>
        <v>15</v>
      </c>
      <c r="H22" s="2">
        <f t="array" ref="H22">ROUND(XLOOKUP(C22,StudentTracker!$C$2:$C$27,StudentTracker!$G$2:$G$27),2)*0.15</f>
        <v>13.65</v>
      </c>
      <c r="I22" s="2">
        <f t="array" ref="I22">IF(XLOOKUP(C22,StudentTracker!$C$2:$C$27,StudentTracker!$H$2:$H$27)="Yes",30,0)</f>
        <v>30</v>
      </c>
      <c r="J22" s="14" t="str">
        <f t="shared" si="3"/>
        <v>Good</v>
      </c>
    </row>
    <row r="23" ht="15.75" customHeight="1">
      <c r="A23" s="2" t="s">
        <v>42</v>
      </c>
      <c r="B23" s="2" t="s">
        <v>43</v>
      </c>
      <c r="C23" s="2" t="str">
        <f t="shared" si="1"/>
        <v>DustinBoier@gmail.com</v>
      </c>
      <c r="D23" s="2" t="s">
        <v>9</v>
      </c>
      <c r="E23" s="2">
        <f t="shared" si="2"/>
        <v>56</v>
      </c>
      <c r="F23" s="2">
        <f t="array" ref="F23">ROUND(XLOOKUP(C23,StudentTracker!$C$2:$C$27,StudentTracker!$E$2:$E$27),2)*40</f>
        <v>0</v>
      </c>
      <c r="G23" s="2">
        <f t="array" ref="G23">ROUND(XLOOKUP(C23,StudentTracker!$C$2:$C$27,StudentTracker!$F$2:$F$27),0)*0.15</f>
        <v>12.45</v>
      </c>
      <c r="H23" s="2">
        <f t="array" ref="H23">ROUND(XLOOKUP(C23,StudentTracker!$C$2:$C$27,StudentTracker!$G$2:$G$27),2)*0.15</f>
        <v>13.35</v>
      </c>
      <c r="I23" s="2">
        <f t="array" ref="I23">IF(XLOOKUP(C23,StudentTracker!$C$2:$C$27,StudentTracker!$H$2:$H$27)="Yes",30,0)</f>
        <v>30</v>
      </c>
      <c r="J23" s="14" t="str">
        <f t="shared" si="3"/>
        <v>Fail</v>
      </c>
    </row>
    <row r="24" ht="15.75" customHeight="1">
      <c r="A24" s="2" t="s">
        <v>44</v>
      </c>
      <c r="B24" s="2" t="s">
        <v>45</v>
      </c>
      <c r="C24" s="2" t="str">
        <f t="shared" si="1"/>
        <v>LanaAndie@gmail.com</v>
      </c>
      <c r="D24" s="2" t="s">
        <v>9</v>
      </c>
      <c r="E24" s="2">
        <f t="shared" si="2"/>
        <v>92</v>
      </c>
      <c r="F24" s="2">
        <f t="array" ref="F24">ROUND(XLOOKUP(C24,StudentTracker!$C$2:$C$27,StudentTracker!$E$2:$E$27),2)*40</f>
        <v>32</v>
      </c>
      <c r="G24" s="2">
        <f t="array" ref="G24">ROUND(XLOOKUP(C24,StudentTracker!$C$2:$C$27,StudentTracker!$F$2:$F$27),0)*0.15</f>
        <v>14.55</v>
      </c>
      <c r="H24" s="2">
        <f t="array" ref="H24">ROUND(XLOOKUP(C24,StudentTracker!$C$2:$C$27,StudentTracker!$G$2:$G$27),2)*0.15</f>
        <v>15</v>
      </c>
      <c r="I24" s="2">
        <f t="array" ref="I24">IF(XLOOKUP(C24,StudentTracker!$C$2:$C$27,StudentTracker!$H$2:$H$27)="Yes",30,0)</f>
        <v>30</v>
      </c>
      <c r="J24" s="14" t="str">
        <f t="shared" si="3"/>
        <v>Excellent</v>
      </c>
    </row>
    <row r="25" ht="15.75" customHeight="1">
      <c r="A25" s="2" t="s">
        <v>46</v>
      </c>
      <c r="B25" s="2" t="s">
        <v>47</v>
      </c>
      <c r="C25" s="2" t="str">
        <f t="shared" si="1"/>
        <v>AnnaTsakiris@gmail.com</v>
      </c>
      <c r="D25" s="2" t="s">
        <v>6</v>
      </c>
      <c r="E25" s="2">
        <f t="shared" si="2"/>
        <v>85</v>
      </c>
      <c r="F25" s="2">
        <f t="array" ref="F25">ROUND(XLOOKUP(C25,StudentTracker!$C$2:$C$27,StudentTracker!$E$2:$E$27),2)*40</f>
        <v>32</v>
      </c>
      <c r="G25" s="2">
        <f t="array" ref="G25">ROUND(XLOOKUP(C25,StudentTracker!$C$2:$C$27,StudentTracker!$F$2:$F$27),0)*0.15</f>
        <v>10.65</v>
      </c>
      <c r="H25" s="2">
        <f t="array" ref="H25">ROUND(XLOOKUP(C25,StudentTracker!$C$2:$C$27,StudentTracker!$G$2:$G$27),2)*0.15</f>
        <v>11.85</v>
      </c>
      <c r="I25" s="2">
        <f t="array" ref="I25">IF(XLOOKUP(C25,StudentTracker!$C$2:$C$27,StudentTracker!$H$2:$H$27)="Yes",30,0)</f>
        <v>30</v>
      </c>
      <c r="J25" s="14" t="str">
        <f t="shared" si="3"/>
        <v>Good</v>
      </c>
    </row>
    <row r="26" ht="15.75" customHeight="1">
      <c r="A26" s="2" t="s">
        <v>48</v>
      </c>
      <c r="B26" s="2" t="s">
        <v>49</v>
      </c>
      <c r="C26" s="2" t="str">
        <f t="shared" si="1"/>
        <v>NetoJuninhio@gmail.com</v>
      </c>
      <c r="D26" s="2" t="s">
        <v>6</v>
      </c>
      <c r="E26" s="2">
        <f t="shared" si="2"/>
        <v>40</v>
      </c>
      <c r="F26" s="2">
        <f t="array" ref="F26">ROUND(XLOOKUP(C26,StudentTracker!$C$2:$C$27,StudentTracker!$E$2:$E$27),2)*40</f>
        <v>24</v>
      </c>
      <c r="G26" s="2">
        <f t="array" ref="G26">ROUND(XLOOKUP(C26,StudentTracker!$C$2:$C$27,StudentTracker!$F$2:$F$27),0)*0.15</f>
        <v>6</v>
      </c>
      <c r="H26" s="2">
        <f t="array" ref="H26">ROUND(XLOOKUP(C26,StudentTracker!$C$2:$C$27,StudentTracker!$G$2:$G$27),2)*0.15</f>
        <v>9.9</v>
      </c>
      <c r="I26" s="2">
        <f t="array" ref="I26">IF(XLOOKUP(C26,StudentTracker!$C$2:$C$27,StudentTracker!$H$2:$H$27)="Yes",30,0)</f>
        <v>0</v>
      </c>
      <c r="J26" s="14" t="str">
        <f t="shared" si="3"/>
        <v>Fail</v>
      </c>
    </row>
    <row r="27" ht="15.75" customHeight="1">
      <c r="A27" s="2" t="s">
        <v>50</v>
      </c>
      <c r="B27" s="2" t="s">
        <v>51</v>
      </c>
      <c r="C27" s="2" t="str">
        <f t="shared" si="1"/>
        <v>AndresIniesti@gmail.com</v>
      </c>
      <c r="D27" s="2" t="s">
        <v>9</v>
      </c>
      <c r="E27" s="2">
        <f t="shared" si="2"/>
        <v>81</v>
      </c>
      <c r="F27" s="2">
        <f t="array" ref="F27">ROUND(XLOOKUP(C27,StudentTracker!$C$2:$C$27,StudentTracker!$E$2:$E$27),2)*40</f>
        <v>24</v>
      </c>
      <c r="G27" s="2">
        <f t="array" ref="G27">ROUND(XLOOKUP(C27,StudentTracker!$C$2:$C$27,StudentTracker!$F$2:$F$27),0)*0.15</f>
        <v>13.5</v>
      </c>
      <c r="H27" s="2">
        <f t="array" ref="H27">ROUND(XLOOKUP(C27,StudentTracker!$C$2:$C$27,StudentTracker!$G$2:$G$27),2)*0.15</f>
        <v>13.05</v>
      </c>
      <c r="I27" s="2">
        <f t="array" ref="I27">IF(XLOOKUP(C27,StudentTracker!$C$2:$C$27,StudentTracker!$H$2:$H$27)="Yes",30,0)</f>
        <v>30</v>
      </c>
      <c r="J27" s="14" t="str">
        <f t="shared" si="3"/>
        <v>Good</v>
      </c>
    </row>
    <row r="28" ht="15.75" customHeight="1">
      <c r="J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V1"/>
  </mergeCells>
  <conditionalFormatting sqref="A2:I27 J2:J28">
    <cfRule type="expression" dxfId="0" priority="1" stopIfTrue="1">
      <formula>$J2:$J27="Fail"</formula>
    </cfRule>
  </conditionalFormatting>
  <printOptions/>
  <pageMargins bottom="0.75" footer="0.0" header="0.0" left="0.7" right="0.7" top="0.75"/>
  <pageSetup orientation="landscape"/>
  <drawing r:id="rId1"/>
</worksheet>
</file>