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w\Desktop\"/>
    </mc:Choice>
  </mc:AlternateContent>
  <xr:revisionPtr revIDLastSave="0" documentId="8_{0B82F6D6-DFB7-45D1-BF17-AA9EEC87EDA1}" xr6:coauthVersionLast="47" xr6:coauthVersionMax="47" xr10:uidLastSave="{00000000-0000-0000-0000-000000000000}"/>
  <bookViews>
    <workbookView xWindow="-110" yWindow="-110" windowWidth="19420" windowHeight="10420" xr2:uid="{A0C36403-A11B-47A5-A457-94EFA86C577C}"/>
  </bookViews>
  <sheets>
    <sheet name="InputData" sheetId="1" r:id="rId1"/>
    <sheet name="OutputData" sheetId="2" r:id="rId2"/>
  </sheets>
  <externalReferences>
    <externalReference r:id="rId3"/>
  </externalReferences>
  <definedNames>
    <definedName name="ExternalData_1" localSheetId="0" hidden="1">InputData!$B$1:$J$52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41312.4225231481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D">[1]!PD_table[[#Headers],[PD]]</definedName>
    <definedName name="reportDate">[1]Cover!$B$1</definedName>
    <definedName name="totalMomAbilitycredit">'[1]Momentum Ability Credit'!$B$122</definedName>
    <definedName name="totalRMBSiCredit">'[1]RMBSi Credit'!$B$121</definedName>
    <definedName name="ValueDate">'[1]FRISCOL Input'!#REF!</definedName>
    <definedName name="WorkBookName">'[1]FNB Life Input'!$E$8</definedName>
  </definedNames>
  <calcPr calcId="191029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2" l="1"/>
  <c r="C58" i="2"/>
  <c r="C57" i="2"/>
  <c r="C56" i="2"/>
  <c r="C52" i="2"/>
  <c r="C51" i="2"/>
  <c r="C50" i="2"/>
  <c r="C49" i="2" a="1"/>
  <c r="C49" i="2"/>
  <c r="C48" i="2"/>
  <c r="C44" i="2"/>
  <c r="C43" i="2"/>
  <c r="C42" i="2" a="1"/>
  <c r="C42" i="2"/>
  <c r="C41" i="2" a="1"/>
  <c r="C41" i="2"/>
  <c r="C40" i="2" a="1"/>
  <c r="C40" i="2"/>
  <c r="C36" i="2" a="1"/>
  <c r="C36" i="2"/>
  <c r="C35" i="2" a="1"/>
  <c r="C35" i="2"/>
  <c r="C34" i="2" a="1"/>
  <c r="C34" i="2"/>
  <c r="C31" i="2" a="1"/>
  <c r="C31" i="2"/>
  <c r="C30" i="2" a="1"/>
  <c r="C30" i="2"/>
  <c r="C29" i="2" a="1"/>
  <c r="C29" i="2"/>
  <c r="C28" i="2" a="1"/>
  <c r="C28" i="2"/>
  <c r="C27" i="2"/>
  <c r="C24" i="2" a="1"/>
  <c r="C24" i="2"/>
  <c r="C23" i="2" a="1"/>
  <c r="C23" i="2"/>
  <c r="C22" i="2" a="1"/>
  <c r="C22" i="2"/>
  <c r="C21" i="2" a="1"/>
  <c r="C21" i="2"/>
  <c r="C20" i="2"/>
  <c r="C17" i="2"/>
  <c r="C12" i="2"/>
  <c r="C11" i="2"/>
  <c r="C10" i="2"/>
  <c r="C9" i="2"/>
  <c r="C8" i="2"/>
  <c r="C7" i="2"/>
  <c r="C6" i="2"/>
  <c r="C5" i="2"/>
  <c r="N52" i="1"/>
  <c r="L52" i="1"/>
  <c r="N51" i="1"/>
  <c r="L51" i="1"/>
  <c r="N50" i="1"/>
  <c r="L50" i="1"/>
  <c r="N49" i="1"/>
  <c r="L49" i="1"/>
  <c r="N48" i="1"/>
  <c r="L48" i="1"/>
  <c r="N47" i="1"/>
  <c r="L47" i="1"/>
  <c r="N46" i="1"/>
  <c r="L46" i="1"/>
  <c r="N45" i="1"/>
  <c r="L45" i="1"/>
  <c r="N44" i="1"/>
  <c r="L44" i="1"/>
  <c r="N43" i="1"/>
  <c r="L43" i="1"/>
  <c r="N42" i="1"/>
  <c r="L42" i="1"/>
  <c r="N41" i="1"/>
  <c r="L41" i="1"/>
  <c r="N40" i="1"/>
  <c r="L40" i="1"/>
  <c r="N39" i="1"/>
  <c r="L39" i="1"/>
  <c r="N38" i="1"/>
  <c r="L38" i="1"/>
  <c r="N37" i="1"/>
  <c r="L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N3" i="1"/>
  <c r="L3" i="1"/>
  <c r="N2" i="1"/>
  <c r="L2" i="1"/>
  <c r="D60" i="2"/>
  <c r="D59" i="2"/>
  <c r="D58" i="2"/>
  <c r="D57" i="2"/>
  <c r="D56" i="2"/>
  <c r="D52" i="2"/>
  <c r="D51" i="2"/>
  <c r="D50" i="2"/>
  <c r="D49" i="2"/>
  <c r="D48" i="2"/>
  <c r="D44" i="2"/>
  <c r="D43" i="2"/>
  <c r="D42" i="2"/>
  <c r="D41" i="2"/>
  <c r="D40" i="2"/>
  <c r="D36" i="2"/>
  <c r="D35" i="2"/>
  <c r="D34" i="2"/>
  <c r="D31" i="2"/>
  <c r="D30" i="2"/>
  <c r="D29" i="2"/>
  <c r="D28" i="2"/>
  <c r="D27" i="2"/>
  <c r="D24" i="2"/>
  <c r="D23" i="2"/>
  <c r="D22" i="2"/>
  <c r="D21" i="2"/>
  <c r="D20" i="2"/>
  <c r="D17" i="2"/>
  <c r="D12" i="2"/>
  <c r="D11" i="2"/>
  <c r="D10" i="2"/>
  <c r="D9" i="2"/>
  <c r="D8" i="2"/>
  <c r="D7" i="2"/>
  <c r="D6" i="2"/>
  <c r="D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9278E-818C-4638-A860-358899752175}" keepAlive="1" name="Query - FRISCOLInput" description="Connection to the 'FRISCOLInput' query in the workbook." type="5" refreshedVersion="6" background="1" saveData="1">
    <dbPr connection="Provider=Microsoft.Mashup.OleDb.1;Data Source=$Workbook$;Location=FRISCOLInput;Extended Properties=&quot;&quot;" command="SELECT * FROM [FRISCOLIn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<sst xmlns="http://schemas.openxmlformats.org/spreadsheetml/2006/main" count="653" uniqueCount="284">
  <si>
    <t>Instrument type</t>
  </si>
  <si>
    <t>Limits</t>
  </si>
  <si>
    <t>Exposure</t>
  </si>
  <si>
    <t>Compliance</t>
  </si>
  <si>
    <t>(% of total market value)</t>
  </si>
  <si>
    <t>1. Instruments issued or guaranteed by the South African Government</t>
  </si>
  <si>
    <t>2. Bank deposits, Notes, Bills, NCDs or other securities issues endorsed by banks</t>
  </si>
  <si>
    <t>3. Bank issued conduit paper (listed)</t>
  </si>
  <si>
    <t>4. Direct look through notes</t>
  </si>
  <si>
    <t>5. Commercial paper</t>
  </si>
  <si>
    <t>6. Listed bonds</t>
  </si>
  <si>
    <t>7. Repurchase agreements</t>
  </si>
  <si>
    <t>8. Interest rate derivatives for hedging purposes only</t>
  </si>
  <si>
    <t>Credit Rating (South African national scale)</t>
  </si>
  <si>
    <t>Single issuer limits</t>
  </si>
  <si>
    <t>RSA Government</t>
  </si>
  <si>
    <t>Banks (excl. “Big 4”) and SOE’s</t>
  </si>
  <si>
    <t>Any Government guaranteed issuer</t>
  </si>
  <si>
    <t>Any AAA, AA+, AA or AA-</t>
  </si>
  <si>
    <t>Any A+, A or A-</t>
  </si>
  <si>
    <t>Any BBB+*, BBB and BBB-</t>
  </si>
  <si>
    <t>Any BB+ or lower*</t>
  </si>
  <si>
    <t>Corporates and Municipalities</t>
  </si>
  <si>
    <t>Any BBB+, BBB and BBB-</t>
  </si>
  <si>
    <t>Any BB+ or lower</t>
  </si>
  <si>
    <t>Portfolio level issuer limits</t>
  </si>
  <si>
    <t>RSA Government, Government guaranteed, AAA or AA-</t>
  </si>
  <si>
    <t>A+ or lower</t>
  </si>
  <si>
    <t>BBB+, BBB and BBB-</t>
  </si>
  <si>
    <t>Aggregate Limits</t>
  </si>
  <si>
    <t>Big Four SA Bank Combined</t>
  </si>
  <si>
    <t>Investec Bank and Capitec Bank combined exposure</t>
  </si>
  <si>
    <t>Non-SA owned banks with SA branch combined exposure</t>
  </si>
  <si>
    <t>Real estate and property</t>
  </si>
  <si>
    <t>Single Industry Exposure</t>
  </si>
  <si>
    <t>Big Four Banks</t>
  </si>
  <si>
    <t>ABSA/Barclays</t>
  </si>
  <si>
    <t xml:space="preserve">Nedbank </t>
  </si>
  <si>
    <t>Standard Bank</t>
  </si>
  <si>
    <t>FirstRand</t>
  </si>
  <si>
    <t>Tier II Subordinated Debt (Standard Bank, Nedbank, ABSA Bank/Barclays)</t>
  </si>
  <si>
    <t>Additional Limits</t>
  </si>
  <si>
    <t>Single Conduit</t>
  </si>
  <si>
    <t>Weighted Average Modified Duration</t>
  </si>
  <si>
    <t>1 year</t>
  </si>
  <si>
    <t>Term to Maturity of a Single Instrument</t>
  </si>
  <si>
    <t>12 years</t>
  </si>
  <si>
    <t>Term to Maturity less than one year</t>
  </si>
  <si>
    <t>Minimum 75%</t>
  </si>
  <si>
    <t>South African Rand</t>
  </si>
  <si>
    <t>Fund Mandate Compliance - 29 April 2019</t>
  </si>
  <si>
    <t>ValueDate</t>
  </si>
  <si>
    <t>InstrumentCode</t>
  </si>
  <si>
    <t>Instrument Name</t>
  </si>
  <si>
    <t>Instrument Type</t>
  </si>
  <si>
    <t>%Market Value</t>
  </si>
  <si>
    <t>All-in Market Value-Val</t>
  </si>
  <si>
    <t>Issuer</t>
  </si>
  <si>
    <t>Yield</t>
  </si>
  <si>
    <t>Inst Maty Dt</t>
  </si>
  <si>
    <t>Mod Dur</t>
  </si>
  <si>
    <t>Time to Maturity (days)</t>
  </si>
  <si>
    <t>Single Issuer Exposure</t>
  </si>
  <si>
    <t>Industry</t>
  </si>
  <si>
    <t>Weighted Duration</t>
  </si>
  <si>
    <t>Issuer Type</t>
  </si>
  <si>
    <t>Guarantee</t>
  </si>
  <si>
    <t>National Rating</t>
  </si>
  <si>
    <t>Global Rating</t>
  </si>
  <si>
    <t>Source</t>
  </si>
  <si>
    <t>PD</t>
  </si>
  <si>
    <t>LGD</t>
  </si>
  <si>
    <t>Classification</t>
  </si>
  <si>
    <t>AIG2U</t>
  </si>
  <si>
    <t>AIG2U 080726</t>
  </si>
  <si>
    <t>BOND : UNLISTED</t>
  </si>
  <si>
    <t>ASHBURTON FUND MANAGEMENT</t>
  </si>
  <si>
    <t>Corporate</t>
  </si>
  <si>
    <t>Secured</t>
  </si>
  <si>
    <t>A</t>
  </si>
  <si>
    <t>BB</t>
  </si>
  <si>
    <t>Internal</t>
  </si>
  <si>
    <t>HSBCATL</t>
  </si>
  <si>
    <t>HSBC ZAR CALL</t>
  </si>
  <si>
    <t>CALL MONEY</t>
  </si>
  <si>
    <t>HSBC</t>
  </si>
  <si>
    <t>Banks</t>
  </si>
  <si>
    <t>Financial</t>
  </si>
  <si>
    <t>Senior Unsecured</t>
  </si>
  <si>
    <t>AAA</t>
  </si>
  <si>
    <t>AA-</t>
  </si>
  <si>
    <t>Moody's</t>
  </si>
  <si>
    <t>SOUTH AFRICAN RAND I</t>
  </si>
  <si>
    <t>CASH</t>
  </si>
  <si>
    <t>RMB</t>
  </si>
  <si>
    <t>AA+</t>
  </si>
  <si>
    <t>MTNCD333</t>
  </si>
  <si>
    <t>RMH 7.75% 030519</t>
  </si>
  <si>
    <t>MMI : NEGOTIABLE CDs</t>
  </si>
  <si>
    <t>2019/05/03</t>
  </si>
  <si>
    <t>BBB-</t>
  </si>
  <si>
    <t>MTNCD371</t>
  </si>
  <si>
    <t>NEDSJ 7.85% 220519</t>
  </si>
  <si>
    <t>NEDBANK</t>
  </si>
  <si>
    <t>2019/05/22</t>
  </si>
  <si>
    <t>S&amp;P</t>
  </si>
  <si>
    <t>SBS24</t>
  </si>
  <si>
    <t>SBK 8.75000% 240519</t>
  </si>
  <si>
    <t>BOND : FLOATING RATE NOTE</t>
  </si>
  <si>
    <t>STANDARD BANK SOUTH AFRICA</t>
  </si>
  <si>
    <t>2019/05/24</t>
  </si>
  <si>
    <t>BC124</t>
  </si>
  <si>
    <t>BC124 7.80000% 300519</t>
  </si>
  <si>
    <t>BARLOWORLD LTD</t>
  </si>
  <si>
    <t>2019/05/30</t>
  </si>
  <si>
    <t>Industrials</t>
  </si>
  <si>
    <t>MTNCD378</t>
  </si>
  <si>
    <t>MMI SBK 7.85% 300519_378</t>
  </si>
  <si>
    <t>DVF19</t>
  </si>
  <si>
    <t>DVF19 8.65000% 310519</t>
  </si>
  <si>
    <t>DEVELOPMENT BANK OF SA</t>
  </si>
  <si>
    <t>2019/05/31</t>
  </si>
  <si>
    <t>SOE</t>
  </si>
  <si>
    <t>FIFB08</t>
  </si>
  <si>
    <t>FIFB08 8.99000% 310519</t>
  </si>
  <si>
    <t>FORTRESS INCOME 2 (PTY) LTD</t>
  </si>
  <si>
    <t>Real Estate</t>
  </si>
  <si>
    <t>MTCOMP65</t>
  </si>
  <si>
    <t>APN 8.14% 060619</t>
  </si>
  <si>
    <t>MMI : COMMERCIAL PAPER</t>
  </si>
  <si>
    <t>ASPEN PHARMACARE HOLDINGS LTD</t>
  </si>
  <si>
    <t>2019/06/06</t>
  </si>
  <si>
    <t>Pharmaceuticals</t>
  </si>
  <si>
    <t>BB+</t>
  </si>
  <si>
    <t>GRT08</t>
  </si>
  <si>
    <t>GRTSJ 8.60000% 240619</t>
  </si>
  <si>
    <t>GROWTHPOINT PROPERTIES</t>
  </si>
  <si>
    <t>2019/06/24</t>
  </si>
  <si>
    <t>MTNCD457</t>
  </si>
  <si>
    <t>SBK 8.025% 110719</t>
  </si>
  <si>
    <t>2019/07/11</t>
  </si>
  <si>
    <t>MTFRN279</t>
  </si>
  <si>
    <t>SBK 7.9000% 220719</t>
  </si>
  <si>
    <t>MMI : FLOATING RATE NOTE</t>
  </si>
  <si>
    <t>2019/07/22</t>
  </si>
  <si>
    <t>MTNCD527</t>
  </si>
  <si>
    <t>IMPLEL 8.225% 140819</t>
  </si>
  <si>
    <t>ABSA BANK LIMITED</t>
  </si>
  <si>
    <t>2019/08/14</t>
  </si>
  <si>
    <t>IVC150</t>
  </si>
  <si>
    <t>IVC150 8.2300% 170919</t>
  </si>
  <si>
    <t>INVESTEC BANK LTD</t>
  </si>
  <si>
    <t>2019/09/17</t>
  </si>
  <si>
    <t>HWF09</t>
  </si>
  <si>
    <t>HWF09 8.58000% 190919</t>
  </si>
  <si>
    <t>SOUTH AFRICAN NATIONAL ROAD AG</t>
  </si>
  <si>
    <t>2019/09/19</t>
  </si>
  <si>
    <t>Government Guaranteed</t>
  </si>
  <si>
    <t>MTNCD615</t>
  </si>
  <si>
    <t>ABS 8.35% 190919</t>
  </si>
  <si>
    <t>MTNCD616</t>
  </si>
  <si>
    <t>SBK 8.25% 190919</t>
  </si>
  <si>
    <t>MTNCD617</t>
  </si>
  <si>
    <t>NEDSJ 8.3% 190919</t>
  </si>
  <si>
    <t>NEDBANK GROUP</t>
  </si>
  <si>
    <t>AA</t>
  </si>
  <si>
    <t>MTNCD618</t>
  </si>
  <si>
    <t>FSRSJ 8.3% 190919</t>
  </si>
  <si>
    <t>MTFRN334</t>
  </si>
  <si>
    <t>ABS 7.9000% 260919</t>
  </si>
  <si>
    <t>2019/09/26</t>
  </si>
  <si>
    <t>MTFRN335</t>
  </si>
  <si>
    <t>SATAXI 8.6500% 260919</t>
  </si>
  <si>
    <t>SA TAXI DEVELOPMENT FINANCE</t>
  </si>
  <si>
    <t>Financial Services</t>
  </si>
  <si>
    <t>MTNCD634</t>
  </si>
  <si>
    <t>ABS 8.275% 260919</t>
  </si>
  <si>
    <t>BPPF12</t>
  </si>
  <si>
    <t>BPPF12 8.0200% 091019</t>
  </si>
  <si>
    <t>BNP PARIBAS</t>
  </si>
  <si>
    <t>2019/10/09</t>
  </si>
  <si>
    <t>MTFRN1061</t>
  </si>
  <si>
    <t>RMB 7.88300% 161019</t>
  </si>
  <si>
    <t>MMI : FLOATING R</t>
  </si>
  <si>
    <t>2019/10/16</t>
  </si>
  <si>
    <t>MTNCD680</t>
  </si>
  <si>
    <t>ABS 8.35% 181019</t>
  </si>
  <si>
    <t>2019/10/18</t>
  </si>
  <si>
    <t>MWAR01</t>
  </si>
  <si>
    <t>MWAR01 9.25000% 221119</t>
  </si>
  <si>
    <t>MW ASSET RENTALS (RF) LIMITED</t>
  </si>
  <si>
    <t>2019/11/22</t>
  </si>
  <si>
    <t>Structured Financing</t>
  </si>
  <si>
    <t>Securitisation</t>
  </si>
  <si>
    <t>GCR</t>
  </si>
  <si>
    <t>IDCG05</t>
  </si>
  <si>
    <t>IDC 8.65000% 241119</t>
  </si>
  <si>
    <t>INDUSTRIAL DEVELOPMENT CORPORATION OF S A LTD</t>
  </si>
  <si>
    <t>2019/11/24</t>
  </si>
  <si>
    <t>MTTB111</t>
  </si>
  <si>
    <t>SRB 7.6185699% 111219</t>
  </si>
  <si>
    <t>MMI : TREASURY BILL</t>
  </si>
  <si>
    <t>REPUBLIC OF SOUTH AFRICA</t>
  </si>
  <si>
    <t>2019/12/11</t>
  </si>
  <si>
    <t>Government</t>
  </si>
  <si>
    <t>MTNCD1030</t>
  </si>
  <si>
    <t>NED 8.175% 200320</t>
  </si>
  <si>
    <t>2020/03/20</t>
  </si>
  <si>
    <t>IVC158</t>
  </si>
  <si>
    <t>IVC158 8.20800% 020420</t>
  </si>
  <si>
    <t>BOND : FLOATING</t>
  </si>
  <si>
    <t>2020/04/02</t>
  </si>
  <si>
    <t>MTNCD1095</t>
  </si>
  <si>
    <t>RMB 8.1% 030420</t>
  </si>
  <si>
    <t>MMI : NEGOTIABLE</t>
  </si>
  <si>
    <t>2020/04/03</t>
  </si>
  <si>
    <t>TFS160</t>
  </si>
  <si>
    <t>TFS160 7.988% 250420</t>
  </si>
  <si>
    <t>TOYOTA FINANCIAL SERVICES</t>
  </si>
  <si>
    <t>2020/04/25</t>
  </si>
  <si>
    <t>Retail</t>
  </si>
  <si>
    <t>A+</t>
  </si>
  <si>
    <t>MTNCD1149</t>
  </si>
  <si>
    <t>IMPLEL 8.1% 290420</t>
  </si>
  <si>
    <t>IMPUMELELO CP NOTE PRGM 1</t>
  </si>
  <si>
    <t>GRT12</t>
  </si>
  <si>
    <t>GRTSJ 8.85000% 240620</t>
  </si>
  <si>
    <t>2020/06/24</t>
  </si>
  <si>
    <t>VKE09</t>
  </si>
  <si>
    <t>VKE09 8.7900% 080720</t>
  </si>
  <si>
    <t>VUKILE.PROP.FND</t>
  </si>
  <si>
    <t>2020/07/08</t>
  </si>
  <si>
    <t>Senior Secured</t>
  </si>
  <si>
    <t>MTN08</t>
  </si>
  <si>
    <t>MTN08 8.9000% 111020</t>
  </si>
  <si>
    <t>MTN HOLDINGS</t>
  </si>
  <si>
    <t>2020/10/11</t>
  </si>
  <si>
    <t>Telecommunications</t>
  </si>
  <si>
    <t>NTC22</t>
  </si>
  <si>
    <t>NTC22 8.70000% 150221</t>
  </si>
  <si>
    <t>NETCARE LTD</t>
  </si>
  <si>
    <t>2021/02/15</t>
  </si>
  <si>
    <t>Healthcare</t>
  </si>
  <si>
    <t>NBK38B</t>
  </si>
  <si>
    <t>NBK38B 8.90000% 020821</t>
  </si>
  <si>
    <t>2021/08/02</t>
  </si>
  <si>
    <t>WHL02</t>
  </si>
  <si>
    <t>WHL02 8.5000% 021021</t>
  </si>
  <si>
    <t>WOOLWORTHS Holdings Limited</t>
  </si>
  <si>
    <t>2021/10/02</t>
  </si>
  <si>
    <t>TH14A7</t>
  </si>
  <si>
    <t>TH14A7 8.96000% 211121</t>
  </si>
  <si>
    <t>THE THEKWINI FUND 14 (RF) LTD</t>
  </si>
  <si>
    <t>2021/11/21</t>
  </si>
  <si>
    <t>SBS49</t>
  </si>
  <si>
    <t>SBS49 8.71000% 310122</t>
  </si>
  <si>
    <t>2022/01/31</t>
  </si>
  <si>
    <t>LBK18</t>
  </si>
  <si>
    <t>LAND 10.00000% 220322</t>
  </si>
  <si>
    <t>LAND AND AGRICULTURAL DEVELOPMENT BANK OF SOUTH AFRICA</t>
  </si>
  <si>
    <t>2022/03/22</t>
  </si>
  <si>
    <t>FRB23</t>
  </si>
  <si>
    <t>FRB23 10.30000% 200922</t>
  </si>
  <si>
    <t>2022/09/20</t>
  </si>
  <si>
    <t>Subordinated</t>
  </si>
  <si>
    <t>LBK27</t>
  </si>
  <si>
    <t>LBK27 9.30000% 230323</t>
  </si>
  <si>
    <t>2023/03/23</t>
  </si>
  <si>
    <t>LBK31</t>
  </si>
  <si>
    <t>LBK31 9.10000% 200923</t>
  </si>
  <si>
    <t>2023/09/20</t>
  </si>
  <si>
    <t>RDFB15</t>
  </si>
  <si>
    <t>RDFB15 8.75000% 051223</t>
  </si>
  <si>
    <t>REDEFINE PROPERTIES LTD</t>
  </si>
  <si>
    <t>2023/12/05</t>
  </si>
  <si>
    <t>NBK43B</t>
  </si>
  <si>
    <t>NBK43B 8.95000% 200224</t>
  </si>
  <si>
    <t>2024/02/20</t>
  </si>
  <si>
    <t>LBK35</t>
  </si>
  <si>
    <t>LBK35 9% 260324</t>
  </si>
  <si>
    <t>2024/03/26</t>
  </si>
  <si>
    <t>DVF25</t>
  </si>
  <si>
    <t>DVF25 8.65% 020424</t>
  </si>
  <si>
    <t>2024/04/02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</si>
</sst>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 * #,##0.00_ ;_ * \-#,##0.00_ ;_ * &quot;-&quot;??_ ;_ @_ "/>
    <numFmt numFmtId="166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0"/>
      <name val="Calibri Light"/>
      <family val="2"/>
    </font>
    <font>
      <sz val="12"/>
      <color theme="1"/>
      <name val="Calibri"/>
      <family val="2"/>
      <scheme val="minor"/>
    </font>
    <font>
      <sz val="13"/>
      <color theme="1"/>
      <name val="Calibri Light"/>
      <family val="2"/>
    </font>
    <font>
      <b/>
      <sz val="13"/>
      <color theme="1"/>
      <name val="Calibri Light"/>
      <family val="2"/>
    </font>
    <font>
      <sz val="13"/>
      <name val="Calibri Light"/>
      <family val="2"/>
    </font>
    <font>
      <sz val="12"/>
      <name val="Calibri"/>
      <family val="2"/>
      <scheme val="minor"/>
    </font>
    <font>
      <sz val="10"/>
      <color theme="1"/>
      <name val="Calibri Light"/>
      <family val="2"/>
    </font>
    <font>
      <sz val="8"/>
      <color theme="1"/>
      <name val="Calibri Light"/>
      <family val="2"/>
    </font>
    <font>
      <b/>
      <sz val="8"/>
      <color theme="4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164" fontId="0" fillId="0" borderId="0" xfId="2" applyNumberFormat="1" applyFont="1" applyAlignment="1">
      <alignment horizontal="center"/>
    </xf>
    <xf numFmtId="164" fontId="0" fillId="0" borderId="0" xfId="2" applyNumberFormat="1" applyFont="1"/>
    <xf numFmtId="0" fontId="4" fillId="2" borderId="1" xfId="0" applyFont="1" applyFill="1" applyBorder="1" applyAlignment="1">
      <alignment horizontal="center" vertical="center" wrapText="1"/>
    </xf>
    <xf numFmtId="164" fontId="4" fillId="2" borderId="2" xfId="2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164" fontId="4" fillId="2" borderId="5" xfId="2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164" fontId="6" fillId="0" borderId="5" xfId="2" applyNumberFormat="1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0" fontId="5" fillId="0" borderId="0" xfId="0" applyFont="1"/>
    <xf numFmtId="164" fontId="6" fillId="0" borderId="6" xfId="2" applyNumberFormat="1" applyFont="1" applyBorder="1" applyAlignment="1">
      <alignment horizontal="center" vertical="center" wrapText="1"/>
    </xf>
    <xf numFmtId="0" fontId="6" fillId="0" borderId="4" xfId="0" applyFont="1" applyBorder="1"/>
    <xf numFmtId="164" fontId="6" fillId="0" borderId="5" xfId="2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center" wrapText="1"/>
    </xf>
    <xf numFmtId="164" fontId="7" fillId="3" borderId="5" xfId="2" applyNumberFormat="1" applyFont="1" applyFill="1" applyBorder="1" applyAlignment="1">
      <alignment horizontal="center" vertical="center" wrapText="1"/>
    </xf>
    <xf numFmtId="9" fontId="7" fillId="3" borderId="6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vertical="center" wrapText="1"/>
    </xf>
    <xf numFmtId="164" fontId="6" fillId="0" borderId="5" xfId="2" applyNumberFormat="1" applyFont="1" applyFill="1" applyBorder="1" applyAlignment="1">
      <alignment horizontal="center" vertical="center" wrapText="1"/>
    </xf>
    <xf numFmtId="0" fontId="5" fillId="0" borderId="0" xfId="0" quotePrefix="1" applyFont="1"/>
    <xf numFmtId="0" fontId="8" fillId="0" borderId="4" xfId="0" applyFont="1" applyBorder="1" applyAlignment="1">
      <alignment vertical="center" wrapText="1"/>
    </xf>
    <xf numFmtId="164" fontId="8" fillId="0" borderId="5" xfId="2" applyNumberFormat="1" applyFont="1" applyFill="1" applyBorder="1" applyAlignment="1">
      <alignment horizontal="center" vertical="center" wrapText="1"/>
    </xf>
    <xf numFmtId="9" fontId="8" fillId="4" borderId="6" xfId="0" applyNumberFormat="1" applyFont="1" applyFill="1" applyBorder="1" applyAlignment="1">
      <alignment horizontal="center" vertical="center" wrapText="1"/>
    </xf>
    <xf numFmtId="0" fontId="9" fillId="0" borderId="0" xfId="0" quotePrefix="1" applyFont="1"/>
    <xf numFmtId="0" fontId="9" fillId="0" borderId="0" xfId="0" applyFont="1"/>
    <xf numFmtId="9" fontId="7" fillId="3" borderId="4" xfId="0" applyNumberFormat="1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9" fontId="7" fillId="3" borderId="6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0" fontId="5" fillId="0" borderId="0" xfId="0" applyNumberFormat="1" applyFont="1"/>
    <xf numFmtId="164" fontId="6" fillId="0" borderId="5" xfId="2" applyNumberFormat="1" applyFont="1" applyBorder="1"/>
    <xf numFmtId="0" fontId="6" fillId="0" borderId="6" xfId="0" applyFont="1" applyBorder="1"/>
    <xf numFmtId="0" fontId="8" fillId="0" borderId="4" xfId="0" applyFont="1" applyBorder="1" applyAlignment="1">
      <alignment horizontal="justify" vertical="center" wrapText="1"/>
    </xf>
    <xf numFmtId="9" fontId="8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164" fontId="6" fillId="0" borderId="8" xfId="2" applyNumberFormat="1" applyFont="1" applyBorder="1" applyAlignment="1">
      <alignment horizontal="center" vertical="center" wrapText="1"/>
    </xf>
    <xf numFmtId="9" fontId="6" fillId="0" borderId="9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164" fontId="10" fillId="0" borderId="0" xfId="2" applyNumberFormat="1" applyFont="1" applyAlignment="1">
      <alignment horizontal="center"/>
    </xf>
    <xf numFmtId="164" fontId="10" fillId="0" borderId="0" xfId="2" applyNumberFormat="1" applyFont="1"/>
    <xf numFmtId="0" fontId="10" fillId="0" borderId="0" xfId="0" applyFont="1"/>
    <xf numFmtId="0" fontId="11" fillId="0" borderId="0" xfId="0" applyFont="1"/>
    <xf numFmtId="164" fontId="11" fillId="0" borderId="0" xfId="2" applyNumberFormat="1" applyFont="1" applyAlignment="1">
      <alignment horizontal="center"/>
    </xf>
    <xf numFmtId="0" fontId="12" fillId="0" borderId="0" xfId="0" applyFont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10" fontId="0" fillId="0" borderId="0" xfId="2" applyNumberFormat="1" applyFont="1"/>
    <xf numFmtId="43" fontId="0" fillId="0" borderId="0" xfId="1" applyFont="1"/>
    <xf numFmtId="0" fontId="13" fillId="0" borderId="0" xfId="0" applyFont="1"/>
    <xf numFmtId="15" fontId="13" fillId="0" borderId="0" xfId="0" applyNumberFormat="1" applyFont="1"/>
    <xf numFmtId="10" fontId="13" fillId="0" borderId="0" xfId="2" applyNumberFormat="1" applyFont="1"/>
    <xf numFmtId="165" fontId="13" fillId="0" borderId="0" xfId="3" applyFont="1"/>
    <xf numFmtId="14" fontId="13" fillId="0" borderId="0" xfId="0" applyNumberFormat="1" applyFont="1"/>
    <xf numFmtId="164" fontId="6" fillId="5" borderId="5" xfId="2" applyNumberFormat="1" applyFont="1" applyFill="1" applyBorder="1" applyAlignment="1">
      <alignment horizontal="center" vertical="center" wrapText="1"/>
    </xf>
    <xf numFmtId="10" fontId="6" fillId="5" borderId="5" xfId="2" applyNumberFormat="1" applyFont="1" applyFill="1" applyBorder="1" applyAlignment="1">
      <alignment horizontal="center" vertical="center" wrapText="1"/>
    </xf>
    <xf numFmtId="164" fontId="7" fillId="5" borderId="5" xfId="2" applyNumberFormat="1" applyFont="1" applyFill="1" applyBorder="1" applyAlignment="1">
      <alignment horizontal="center" vertical="center" wrapText="1"/>
    </xf>
    <xf numFmtId="2" fontId="8" fillId="5" borderId="5" xfId="3" applyNumberFormat="1" applyFont="1" applyFill="1" applyBorder="1" applyAlignment="1">
      <alignment horizontal="center" vertical="center" wrapText="1"/>
    </xf>
    <xf numFmtId="164" fontId="8" fillId="5" borderId="5" xfId="2" applyNumberFormat="1" applyFont="1" applyFill="1" applyBorder="1" applyAlignment="1">
      <alignment horizontal="center" vertical="center" wrapText="1"/>
    </xf>
    <xf numFmtId="164" fontId="6" fillId="5" borderId="8" xfId="2" applyNumberFormat="1" applyFont="1" applyFill="1" applyBorder="1" applyAlignment="1">
      <alignment horizontal="center" vertical="center" wrapText="1"/>
    </xf>
    <xf numFmtId="10" fontId="13" fillId="5" borderId="0" xfId="2" applyNumberFormat="1" applyFont="1" applyFill="1"/>
    <xf numFmtId="166" fontId="13" fillId="5" borderId="0" xfId="2" applyNumberFormat="1" applyFont="1" applyFill="1"/>
  </cellXfs>
  <cellStyles count="4">
    <cellStyle name="Comma" xfId="1" builtinId="3"/>
    <cellStyle name="Comma 2" xfId="3" xr:uid="{C9227368-CB36-4079-99C4-A96086151F22}"/>
    <cellStyle name="Normal" xfId="0" builtinId="0"/>
    <cellStyle name="Percent" xfId="2" builtinId="5"/>
  </cellStyles>
  <dxfs count="2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0%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%20Data%20Template%20-%20Mandate%20Checking-%2029%20April%20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ssuer Information"/>
      <sheetName val="Instrument Information"/>
      <sheetName val="FNB Life Input"/>
      <sheetName val="FNB IBNR RPF Input"/>
      <sheetName val="FNB IBNR IPF Input"/>
      <sheetName val="FNB FLI LT Cap Input"/>
      <sheetName val="FNB FLI Working Cap Input"/>
      <sheetName val="FRISCOL Input"/>
      <sheetName val="AIG Fund Input"/>
      <sheetName val="AHY Fund Input"/>
      <sheetName val="FNB Life Shareholder"/>
      <sheetName val="FNB IBNR RPF"/>
      <sheetName val="FNB IBNR IPF"/>
      <sheetName val="FNB FLI LT Cap"/>
      <sheetName val="FNB FLI Working Cap"/>
      <sheetName val="FRISCOL"/>
      <sheetName val="RMBSi Credit"/>
      <sheetName val="Momentum Ability Credit"/>
      <sheetName val="FRISCOL Flows"/>
      <sheetName val="RMBSi Overview"/>
      <sheetName val="MomAbility Flows"/>
      <sheetName val="RMBSi Flows"/>
      <sheetName val="RMBSi Holdings"/>
      <sheetName val="MomentumAbility Holdings"/>
      <sheetName val="MomAbilityOverlay - Calc"/>
      <sheetName val="RMBSiOverlay - Calc"/>
      <sheetName val="Hedge Ratio Data"/>
      <sheetName val="FNB Life Shareholder - Mandate"/>
      <sheetName val="FRISCOL - Mandate"/>
      <sheetName val="FNB IBNR RPF - Mandate"/>
      <sheetName val="FNB IBNR IPF - Mandate"/>
      <sheetName val="FNB FLI LT Cap - Mandate"/>
      <sheetName val="FNB FLI Working Cap - Mandate"/>
      <sheetName val="MomAbilityHedge - Mandate"/>
      <sheetName val="RMBSiHedging - Mandate"/>
      <sheetName val="MomAbilityOverlay - Mandate"/>
      <sheetName val="RMBSiOverlay - Mandate"/>
      <sheetName val="RMBSiCredit - Mandate"/>
      <sheetName val="MomAbilityCredit - Mandate"/>
    </sheetNames>
    <sheetDataSet>
      <sheetData sheetId="0">
        <row r="1">
          <cell r="B1">
            <v>43584</v>
          </cell>
        </row>
      </sheetData>
      <sheetData sheetId="1"/>
      <sheetData sheetId="2"/>
      <sheetData sheetId="3">
        <row r="8">
          <cell r="E8" t="str">
            <v>20190429_NAV AIG2u.xlsx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21">
          <cell r="B121">
            <v>835357615.58296323</v>
          </cell>
        </row>
      </sheetData>
      <sheetData sheetId="18">
        <row r="122">
          <cell r="B122">
            <v>230329296.49474218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insertClear" adjustColumnWidth="0" connectionId="1" xr16:uid="{DA28548B-3B06-46EC-BB77-D8F20FBB901D}" autoFormatId="16" applyNumberFormats="0" applyBorderFormats="0" applyFontFormats="0" applyPatternFormats="0" applyAlignmentFormats="0" applyWidthHeightFormats="0">
  <queryTableRefresh nextId="24" unboundColumnsLeft="1" unboundColumnsRight="13">
    <queryTableFields count="23">
      <queryTableField id="8" dataBound="0" tableColumnId="9"/>
      <queryTableField id="1" name="InstrumentCode" tableColumnId="8"/>
      <queryTableField id="2" name="Instrument Name" tableColumnId="2"/>
      <queryTableField id="3" name="Instrument Type" tableColumnId="3"/>
      <queryTableField id="9" dataBound="0" tableColumnId="10"/>
      <queryTableField id="4" name="All-in Market Value-Val" tableColumnId="4"/>
      <queryTableField id="10" dataBound="0" tableColumnId="11"/>
      <queryTableField id="5" name="Yield" tableColumnId="5"/>
      <queryTableField id="6" name="Inst Maty Dt" tableColumnId="6"/>
      <queryTableField id="7" name="Mod Dur" tableColumnId="7"/>
      <queryTableField id="23" dataBound="0" tableColumnId="12"/>
      <queryTableField id="22" dataBound="0" tableColumnId="13"/>
      <queryTableField id="21" dataBound="0" tableColumnId="14"/>
      <queryTableField id="20" dataBound="0" tableColumnId="15"/>
      <queryTableField id="19" dataBound="0" tableColumnId="16"/>
      <queryTableField id="18" dataBound="0" tableColumnId="17"/>
      <queryTableField id="17" dataBound="0" tableColumnId="18"/>
      <queryTableField id="16" dataBound="0" tableColumnId="19"/>
      <queryTableField id="15" dataBound="0" tableColumnId="20"/>
      <queryTableField id="14" dataBound="0" tableColumnId="21"/>
      <queryTableField id="13" dataBound="0" tableColumnId="22"/>
      <queryTableField id="12" dataBound="0" tableColumnId="23"/>
      <queryTableField id="11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4375F-841B-4256-B035-3ACC7D9AE7A4}" name="InputData" displayName="InputData" ref="A1:W52" tableType="queryTable" totalsRowShown="0" headerRowDxfId="24" dataDxfId="23">
  <autoFilter ref="A1:W52" xr:uid="{39F4375F-841B-4256-B035-3ACC7D9AE7A4}"/>
  <sortState xmlns:xlrd2="http://schemas.microsoft.com/office/spreadsheetml/2017/richdata2" ref="A2:W52">
    <sortCondition ref="K1:K59"/>
  </sortState>
  <tableColumns count="23">
    <tableColumn id="9" xr3:uid="{04765838-7153-401D-B1BC-E7A77D583973}" uniqueName="9" name="ValueDate" queryTableFieldId="8" dataDxfId="22"/>
    <tableColumn id="8" xr3:uid="{17E2B989-A58E-44A8-963B-4620DB79903B}" uniqueName="8" name="InstrumentCode" queryTableFieldId="1" dataDxfId="21"/>
    <tableColumn id="2" xr3:uid="{47EB605A-DF86-47E8-81E7-D2E23DCBE0E2}" uniqueName="2" name="Instrument Name" queryTableFieldId="2" dataDxfId="20"/>
    <tableColumn id="3" xr3:uid="{68F0B7C2-5FE6-4EEC-8620-8535E541DD7E}" uniqueName="3" name="Instrument Type" queryTableFieldId="3" dataDxfId="19"/>
    <tableColumn id="10" xr3:uid="{47DE5E7D-61E1-4DE6-AD2C-8FD38A7C6B07}" uniqueName="10" name="%Market Value" queryTableFieldId="9" dataDxfId="18" dataCellStyle="Percent"/>
    <tableColumn id="4" xr3:uid="{97143C6F-CBF7-4731-8FF0-69AE12380413}" uniqueName="4" name="All-in Market Value-Val" queryTableFieldId="4" dataDxfId="17" dataCellStyle="Comma"/>
    <tableColumn id="11" xr3:uid="{1528344A-6F0D-4B2A-AF26-5EA706F3B583}" uniqueName="11" name="Issuer" queryTableFieldId="10" dataDxfId="16"/>
    <tableColumn id="5" xr3:uid="{1ED31B3A-471C-4C9F-93A1-78936DD78E1D}" uniqueName="5" name="Yield" queryTableFieldId="5" dataDxfId="15"/>
    <tableColumn id="6" xr3:uid="{99D02A19-AC4F-4DD5-AFB1-207AE2A238BF}" uniqueName="6" name="Inst Maty Dt" queryTableFieldId="6" dataDxfId="14"/>
    <tableColumn id="7" xr3:uid="{02C55775-7508-47C8-A6B7-453E5C33B8B8}" uniqueName="7" name="Mod Dur" queryTableFieldId="7" dataDxfId="13"/>
    <tableColumn id="12" xr3:uid="{F4387F5F-F35E-4F90-B5F5-9C6B69DE1FBD}" uniqueName="12" name="Time to Maturity (days)" queryTableFieldId="23" dataDxfId="4"/>
    <tableColumn id="13" xr3:uid="{953D949C-4A8C-4BDD-AC7A-EFADEDA12449}" uniqueName="13" name="Single Issuer Exposure" queryTableFieldId="22" dataDxfId="3" dataCellStyle="Percent">
      <calculatedColumnFormula>IF(SUMPRODUCT(1*(G2:$G$52=G2))&gt;=2,0,SUMPRODUCT($E$2:E2*($G$2:G2=G2)))</calculatedColumnFormula>
    </tableColumn>
    <tableColumn id="14" xr3:uid="{629E5E68-26AB-4225-981E-E80FC865A7EC}" uniqueName="14" name="Industry" queryTableFieldId="21" dataDxfId="2"/>
    <tableColumn id="15" xr3:uid="{0B424B8E-6175-4EBE-81DC-B04889FAFC55}" uniqueName="15" name="Single Industry Exposure" queryTableFieldId="20" dataDxfId="0" dataCellStyle="Percent">
      <calculatedColumnFormula>IF(SUMPRODUCT(1*(M2:$M$52=M2))&gt;=2,0,SUMPRODUCT($E$2:E2*($M$2:M2=M2)))</calculatedColumnFormula>
    </tableColumn>
    <tableColumn id="16" xr3:uid="{4C9E394F-75F7-4579-8485-1C8F32C42774}" uniqueName="16" name="Weighted Duration" queryTableFieldId="19" dataDxfId="1"/>
    <tableColumn id="17" xr3:uid="{E777EECE-9BC0-40F7-9D32-AA0A232CD4F2}" uniqueName="17" name="Issuer Type" queryTableFieldId="18" dataDxfId="12"/>
    <tableColumn id="18" xr3:uid="{52A3D2C7-F109-41AF-9762-20575FE8F28F}" uniqueName="18" name="Guarantee" queryTableFieldId="17" dataDxfId="11"/>
    <tableColumn id="19" xr3:uid="{0BB538A1-3EF6-4013-943C-C6482E62C1C6}" uniqueName="19" name="National Rating" queryTableFieldId="16" dataDxfId="10"/>
    <tableColumn id="20" xr3:uid="{B16DED9E-839A-44EE-9658-28E17FCF5D60}" uniqueName="20" name="Global Rating" queryTableFieldId="15" dataDxfId="9"/>
    <tableColumn id="21" xr3:uid="{5B6E98C4-C9F3-4AE2-A69D-1CFAA274700A}" uniqueName="21" name="Source" queryTableFieldId="14" dataDxfId="8"/>
    <tableColumn id="22" xr3:uid="{D02D6FF5-CDA2-4950-A24C-D30323CA1213}" uniqueName="22" name="PD" queryTableFieldId="13" dataDxfId="7"/>
    <tableColumn id="23" xr3:uid="{98CF6FFF-127E-42F3-9484-52173D993D4E}" uniqueName="23" name="LGD" queryTableFieldId="12" dataDxfId="6"/>
    <tableColumn id="24" xr3:uid="{0C0E1CDC-E934-43CC-9C31-4AA72661746D}" uniqueName="24" name="Classification" queryTableFieldId="11" dataDxfId="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32B2-0756-404E-97D1-B653CC731ADF}">
  <dimension ref="A1:W52"/>
  <sheetViews>
    <sheetView tabSelected="1" workbookViewId="0">
      <selection activeCell="C11" sqref="C11"/>
    </sheetView>
  </sheetViews>
  <sheetFormatPr defaultRowHeight="14.5" x14ac:dyDescent="0.35"/>
  <cols>
    <col min="1" max="1" width="9.36328125" style="61" bestFit="1" customWidth="1"/>
    <col min="2" max="2" width="20.81640625" bestFit="1" customWidth="1"/>
    <col min="3" max="3" width="24.453125" bestFit="1" customWidth="1"/>
    <col min="4" max="4" width="25.81640625" bestFit="1" customWidth="1"/>
    <col min="5" max="5" width="13.453125" style="62" bestFit="1" customWidth="1"/>
    <col min="6" max="6" width="20" style="63" bestFit="1" customWidth="1"/>
    <col min="7" max="7" width="57.08984375" bestFit="1" customWidth="1"/>
    <col min="8" max="8" width="4.81640625" bestFit="1" customWidth="1"/>
    <col min="9" max="9" width="11" bestFit="1" customWidth="1"/>
    <col min="10" max="10" width="8.81640625" style="63" bestFit="1" customWidth="1"/>
    <col min="11" max="11" width="20.453125" style="63" bestFit="1" customWidth="1"/>
    <col min="12" max="12" width="19.453125" style="62" bestFit="1" customWidth="1"/>
    <col min="13" max="13" width="18.1796875" bestFit="1" customWidth="1"/>
    <col min="14" max="14" width="21.453125" bestFit="1" customWidth="1"/>
    <col min="15" max="15" width="16.7265625" bestFit="1" customWidth="1"/>
    <col min="16" max="16" width="12" bestFit="1" customWidth="1"/>
    <col min="17" max="17" width="21.90625" bestFit="1" customWidth="1"/>
    <col min="18" max="18" width="13.54296875" bestFit="1" customWidth="1"/>
    <col min="19" max="19" width="11.81640625" bestFit="1" customWidth="1"/>
    <col min="20" max="20" width="8" bestFit="1" customWidth="1"/>
    <col min="21" max="21" width="9.81640625" bestFit="1" customWidth="1"/>
    <col min="22" max="22" width="4.81640625" bestFit="1" customWidth="1"/>
    <col min="23" max="23" width="11.6328125" bestFit="1" customWidth="1"/>
  </cols>
  <sheetData>
    <row r="1" spans="1:23" x14ac:dyDescent="0.35">
      <c r="A1" s="64" t="s">
        <v>51</v>
      </c>
      <c r="B1" s="64" t="s">
        <v>52</v>
      </c>
      <c r="C1" s="64" t="s">
        <v>53</v>
      </c>
      <c r="D1" s="64" t="s">
        <v>54</v>
      </c>
      <c r="E1" s="64" t="s">
        <v>55</v>
      </c>
      <c r="F1" s="64" t="s">
        <v>56</v>
      </c>
      <c r="G1" s="64" t="s">
        <v>57</v>
      </c>
      <c r="H1" s="64" t="s">
        <v>58</v>
      </c>
      <c r="I1" s="64" t="s">
        <v>59</v>
      </c>
      <c r="J1" s="64" t="s">
        <v>60</v>
      </c>
      <c r="K1" s="64" t="s">
        <v>61</v>
      </c>
      <c r="L1" s="64" t="s">
        <v>62</v>
      </c>
      <c r="M1" s="64" t="s">
        <v>63</v>
      </c>
      <c r="N1" s="64" t="s">
        <v>34</v>
      </c>
      <c r="O1" s="64" t="s">
        <v>64</v>
      </c>
      <c r="P1" s="64" t="s">
        <v>65</v>
      </c>
      <c r="Q1" s="64" t="s">
        <v>66</v>
      </c>
      <c r="R1" s="64" t="s">
        <v>67</v>
      </c>
      <c r="S1" s="64" t="s">
        <v>68</v>
      </c>
      <c r="T1" s="64" t="s">
        <v>69</v>
      </c>
      <c r="U1" s="64" t="s">
        <v>70</v>
      </c>
      <c r="V1" s="64" t="s">
        <v>71</v>
      </c>
      <c r="W1" s="64" t="s">
        <v>72</v>
      </c>
    </row>
    <row r="2" spans="1:23" x14ac:dyDescent="0.35">
      <c r="A2" s="65">
        <v>43584</v>
      </c>
      <c r="B2" s="64" t="s">
        <v>73</v>
      </c>
      <c r="C2" s="64" t="s">
        <v>74</v>
      </c>
      <c r="D2" s="64" t="s">
        <v>75</v>
      </c>
      <c r="E2" s="66">
        <v>2.4879766576312662E-2</v>
      </c>
      <c r="F2" s="67">
        <v>21337929.050000001</v>
      </c>
      <c r="G2" s="64" t="s">
        <v>76</v>
      </c>
      <c r="H2" s="64">
        <v>0</v>
      </c>
      <c r="I2" s="68"/>
      <c r="J2" s="64">
        <v>0</v>
      </c>
      <c r="K2" s="64">
        <v>0</v>
      </c>
      <c r="L2" s="75">
        <f ca="1">IF(SUMPRODUCT(1*(G2:$G$52=G2))&gt;=2,0,SUMPRODUCT($E$2:E2*($G$2:G2=G2)))</f>
        <v>2.4879766576312662E-2</v>
      </c>
      <c r="M2" s="64" t="s">
        <v>77</v>
      </c>
      <c r="N2" s="76">
        <f ca="1">IF(SUMPRODUCT(1*(M2:$M$52=M2))&gt;=2,0,SUMPRODUCT($E$2:E2*($M$2:M2=M2)))</f>
        <v>0</v>
      </c>
      <c r="O2" s="64">
        <v>0</v>
      </c>
      <c r="P2" s="64" t="s">
        <v>77</v>
      </c>
      <c r="Q2" s="64" t="s">
        <v>78</v>
      </c>
      <c r="R2" s="64" t="s">
        <v>79</v>
      </c>
      <c r="S2" s="64" t="s">
        <v>80</v>
      </c>
      <c r="T2" s="64" t="s">
        <v>81</v>
      </c>
      <c r="U2" s="64">
        <v>7.4332000000000001E-3</v>
      </c>
      <c r="V2" s="64">
        <v>0.45</v>
      </c>
      <c r="W2" s="64">
        <v>4</v>
      </c>
    </row>
    <row r="3" spans="1:23" x14ac:dyDescent="0.35">
      <c r="A3" s="65">
        <v>43584</v>
      </c>
      <c r="B3" s="64" t="s">
        <v>82</v>
      </c>
      <c r="C3" s="64" t="s">
        <v>83</v>
      </c>
      <c r="D3" s="64" t="s">
        <v>84</v>
      </c>
      <c r="E3" s="66">
        <v>9.5533873223255544E-2</v>
      </c>
      <c r="F3" s="67">
        <v>81933847.829999998</v>
      </c>
      <c r="G3" s="64" t="s">
        <v>85</v>
      </c>
      <c r="H3" s="64">
        <v>6.7</v>
      </c>
      <c r="I3" s="68"/>
      <c r="J3" s="64">
        <v>0</v>
      </c>
      <c r="K3" s="64">
        <v>0</v>
      </c>
      <c r="L3" s="75">
        <f ca="1">IF(SUMPRODUCT(1*(G3:$G$52=G3))&gt;=2,0,SUMPRODUCT($E$2:E3*($G$2:G3=G3)))</f>
        <v>9.5533873223255544E-2</v>
      </c>
      <c r="M3" s="64" t="s">
        <v>86</v>
      </c>
      <c r="N3" s="76">
        <f ca="1">IF(SUMPRODUCT(1*(M3:$M$52=M3))&gt;=2,0,SUMPRODUCT($E$2:E3*($M$2:M3=M3)))</f>
        <v>0</v>
      </c>
      <c r="O3" s="64">
        <v>0</v>
      </c>
      <c r="P3" s="64" t="s">
        <v>87</v>
      </c>
      <c r="Q3" s="64" t="s">
        <v>88</v>
      </c>
      <c r="R3" s="64" t="s">
        <v>89</v>
      </c>
      <c r="S3" s="64" t="s">
        <v>90</v>
      </c>
      <c r="T3" s="64" t="s">
        <v>91</v>
      </c>
      <c r="U3" s="64">
        <v>3.8000000000000002E-4</v>
      </c>
      <c r="V3" s="64">
        <v>0.45</v>
      </c>
      <c r="W3" s="64">
        <v>2</v>
      </c>
    </row>
    <row r="4" spans="1:23" x14ac:dyDescent="0.35">
      <c r="A4" s="65">
        <v>43584</v>
      </c>
      <c r="B4" s="64" t="s">
        <v>92</v>
      </c>
      <c r="C4" s="64" t="s">
        <v>93</v>
      </c>
      <c r="D4" s="64" t="s">
        <v>93</v>
      </c>
      <c r="E4" s="66">
        <v>7.5542942548398884E-2</v>
      </c>
      <c r="F4" s="67">
        <v>64788789.049999997</v>
      </c>
      <c r="G4" s="64" t="s">
        <v>94</v>
      </c>
      <c r="H4" s="64">
        <v>6.75</v>
      </c>
      <c r="I4" s="68"/>
      <c r="J4" s="64">
        <v>0</v>
      </c>
      <c r="K4" s="64">
        <v>0</v>
      </c>
      <c r="L4" s="75">
        <f ca="1">IF(SUMPRODUCT(1*(G4:$G$52=G4))&gt;=2,0,SUMPRODUCT($E$2:E4*($G$2:G4=G4)))</f>
        <v>0</v>
      </c>
      <c r="M4" s="64" t="s">
        <v>86</v>
      </c>
      <c r="N4" s="76">
        <f ca="1">IF(SUMPRODUCT(1*(M4:$M$52=M4))&gt;=2,0,SUMPRODUCT($E$2:E4*($M$2:M4=M4)))</f>
        <v>0</v>
      </c>
      <c r="O4" s="64">
        <v>0</v>
      </c>
      <c r="P4" s="64" t="s">
        <v>87</v>
      </c>
      <c r="Q4" s="64" t="s">
        <v>88</v>
      </c>
      <c r="R4" s="64" t="s">
        <v>95</v>
      </c>
      <c r="S4" s="64" t="s">
        <v>80</v>
      </c>
      <c r="T4" s="64" t="s">
        <v>81</v>
      </c>
      <c r="U4" s="64">
        <v>3.2807000000000001E-3</v>
      </c>
      <c r="V4" s="64">
        <v>0.45</v>
      </c>
      <c r="W4" s="64">
        <v>2</v>
      </c>
    </row>
    <row r="5" spans="1:23" x14ac:dyDescent="0.35">
      <c r="A5" s="65">
        <v>43584</v>
      </c>
      <c r="B5" s="64" t="s">
        <v>96</v>
      </c>
      <c r="C5" s="64" t="s">
        <v>97</v>
      </c>
      <c r="D5" s="64" t="s">
        <v>98</v>
      </c>
      <c r="E5" s="66">
        <v>1.8834411086569507E-2</v>
      </c>
      <c r="F5" s="67">
        <v>16153179.18</v>
      </c>
      <c r="G5" s="64" t="s">
        <v>94</v>
      </c>
      <c r="H5" s="64">
        <v>7.75</v>
      </c>
      <c r="I5" s="68" t="s">
        <v>99</v>
      </c>
      <c r="J5" s="64">
        <v>2.2186999999999998E-2</v>
      </c>
      <c r="K5" s="64">
        <v>4</v>
      </c>
      <c r="L5" s="75">
        <f ca="1">IF(SUMPRODUCT(1*(G5:$G$52=G5))&gt;=2,0,SUMPRODUCT($E$2:E5*($G$2:G5=G5)))</f>
        <v>0</v>
      </c>
      <c r="M5" s="64" t="s">
        <v>86</v>
      </c>
      <c r="N5" s="76">
        <f ca="1">IF(SUMPRODUCT(1*(M5:$M$52=M5))&gt;=2,0,SUMPRODUCT($E$2:E5*($M$2:M5=M5)))</f>
        <v>0</v>
      </c>
      <c r="O5" s="64">
        <v>4.1787907877771765E-4</v>
      </c>
      <c r="P5" s="64" t="s">
        <v>87</v>
      </c>
      <c r="Q5" s="64" t="s">
        <v>88</v>
      </c>
      <c r="R5" s="64" t="s">
        <v>95</v>
      </c>
      <c r="S5" s="64" t="s">
        <v>100</v>
      </c>
      <c r="T5" s="64" t="s">
        <v>81</v>
      </c>
      <c r="U5" s="64">
        <v>3.2807000000000001E-3</v>
      </c>
      <c r="V5" s="64">
        <v>0.45</v>
      </c>
      <c r="W5" s="64">
        <v>2</v>
      </c>
    </row>
    <row r="6" spans="1:23" x14ac:dyDescent="0.35">
      <c r="A6" s="65">
        <v>43584</v>
      </c>
      <c r="B6" s="64" t="s">
        <v>101</v>
      </c>
      <c r="C6" s="64" t="s">
        <v>102</v>
      </c>
      <c r="D6" s="64" t="s">
        <v>98</v>
      </c>
      <c r="E6" s="66">
        <v>1.2522869507808378E-2</v>
      </c>
      <c r="F6" s="67">
        <v>10740136.98</v>
      </c>
      <c r="G6" s="64" t="s">
        <v>103</v>
      </c>
      <c r="H6" s="64">
        <v>7.85</v>
      </c>
      <c r="I6" s="68" t="s">
        <v>104</v>
      </c>
      <c r="J6" s="64">
        <v>7.4607999999999994E-2</v>
      </c>
      <c r="K6" s="64">
        <v>23</v>
      </c>
      <c r="L6" s="75">
        <f ca="1">IF(SUMPRODUCT(1*(G6:$G$52=G6))&gt;=2,0,SUMPRODUCT($E$2:E6*($G$2:G6=G6)))</f>
        <v>0</v>
      </c>
      <c r="M6" s="64" t="s">
        <v>86</v>
      </c>
      <c r="N6" s="76">
        <f ca="1">IF(SUMPRODUCT(1*(M6:$M$52=M6))&gt;=2,0,SUMPRODUCT($E$2:E6*($M$2:M6=M6)))</f>
        <v>0</v>
      </c>
      <c r="O6" s="64">
        <v>9.3430624823856738E-4</v>
      </c>
      <c r="P6" s="64" t="s">
        <v>87</v>
      </c>
      <c r="Q6" s="64" t="s">
        <v>88</v>
      </c>
      <c r="R6" s="64" t="s">
        <v>95</v>
      </c>
      <c r="S6" s="64" t="s">
        <v>100</v>
      </c>
      <c r="T6" s="64" t="s">
        <v>105</v>
      </c>
      <c r="U6" s="64">
        <v>3.2807000000000001E-3</v>
      </c>
      <c r="V6" s="64">
        <v>0.45</v>
      </c>
      <c r="W6" s="64">
        <v>2</v>
      </c>
    </row>
    <row r="7" spans="1:23" x14ac:dyDescent="0.35">
      <c r="A7" s="65">
        <v>43584</v>
      </c>
      <c r="B7" s="64" t="s">
        <v>106</v>
      </c>
      <c r="C7" s="64" t="s">
        <v>107</v>
      </c>
      <c r="D7" s="64" t="s">
        <v>108</v>
      </c>
      <c r="E7" s="66">
        <v>1.1853184196193278E-2</v>
      </c>
      <c r="F7" s="67">
        <v>10165786.83</v>
      </c>
      <c r="G7" s="64" t="s">
        <v>109</v>
      </c>
      <c r="H7" s="64">
        <v>7.15</v>
      </c>
      <c r="I7" s="68" t="s">
        <v>110</v>
      </c>
      <c r="J7" s="64">
        <v>7.9451999999999995E-2</v>
      </c>
      <c r="K7" s="64">
        <v>25</v>
      </c>
      <c r="L7" s="75">
        <f ca="1">IF(SUMPRODUCT(1*(G7:$G$52=G7))&gt;=2,0,SUMPRODUCT($E$2:E7*($G$2:G7=G7)))</f>
        <v>0</v>
      </c>
      <c r="M7" s="64" t="s">
        <v>86</v>
      </c>
      <c r="N7" s="76">
        <f ca="1">IF(SUMPRODUCT(1*(M7:$M$52=M7))&gt;=2,0,SUMPRODUCT($E$2:E7*($M$2:M7=M7)))</f>
        <v>0</v>
      </c>
      <c r="O7" s="64">
        <v>9.4175919075594828E-4</v>
      </c>
      <c r="P7" s="64" t="s">
        <v>87</v>
      </c>
      <c r="Q7" s="64" t="s">
        <v>88</v>
      </c>
      <c r="R7" s="64" t="s">
        <v>95</v>
      </c>
      <c r="S7" s="64" t="s">
        <v>100</v>
      </c>
      <c r="T7" s="64" t="s">
        <v>91</v>
      </c>
      <c r="U7" s="64">
        <v>3.2807000000000001E-3</v>
      </c>
      <c r="V7" s="64">
        <v>0.45</v>
      </c>
      <c r="W7" s="64">
        <v>2</v>
      </c>
    </row>
    <row r="8" spans="1:23" x14ac:dyDescent="0.35">
      <c r="A8" s="65">
        <v>43584</v>
      </c>
      <c r="B8" s="64" t="s">
        <v>111</v>
      </c>
      <c r="C8" s="64" t="s">
        <v>112</v>
      </c>
      <c r="D8" s="64" t="s">
        <v>108</v>
      </c>
      <c r="E8" s="66">
        <v>8.5037934594231548E-3</v>
      </c>
      <c r="F8" s="67">
        <v>7293209.1600000001</v>
      </c>
      <c r="G8" s="64" t="s">
        <v>113</v>
      </c>
      <c r="H8" s="64">
        <v>7.15</v>
      </c>
      <c r="I8" s="68" t="s">
        <v>114</v>
      </c>
      <c r="J8" s="64">
        <v>9.5890000000000003E-2</v>
      </c>
      <c r="K8" s="64">
        <v>31</v>
      </c>
      <c r="L8" s="75">
        <f ca="1">IF(SUMPRODUCT(1*(G8:$G$52=G8))&gt;=2,0,SUMPRODUCT($E$2:E8*($G$2:G8=G8)))</f>
        <v>8.5037934594231548E-3</v>
      </c>
      <c r="M8" s="64" t="s">
        <v>115</v>
      </c>
      <c r="N8" s="76">
        <f ca="1">IF(SUMPRODUCT(1*(M8:$M$52=M8))&gt;=2,0,SUMPRODUCT($E$2:E8*($M$2:M8=M8)))</f>
        <v>8.5037934594231548E-3</v>
      </c>
      <c r="O8" s="64">
        <v>8.1542875482408636E-4</v>
      </c>
      <c r="P8" s="64" t="s">
        <v>77</v>
      </c>
      <c r="Q8" s="64" t="s">
        <v>88</v>
      </c>
      <c r="R8" s="64" t="s">
        <v>95</v>
      </c>
      <c r="S8" s="64" t="s">
        <v>100</v>
      </c>
      <c r="T8" s="64" t="s">
        <v>91</v>
      </c>
      <c r="U8" s="64">
        <v>3.2807000000000001E-3</v>
      </c>
      <c r="V8" s="64">
        <v>0.45</v>
      </c>
      <c r="W8" s="64">
        <v>6</v>
      </c>
    </row>
    <row r="9" spans="1:23" x14ac:dyDescent="0.35">
      <c r="A9" s="65">
        <v>43584</v>
      </c>
      <c r="B9" s="64" t="s">
        <v>116</v>
      </c>
      <c r="C9" s="64" t="s">
        <v>117</v>
      </c>
      <c r="D9" s="64" t="s">
        <v>98</v>
      </c>
      <c r="E9" s="66">
        <v>2.500868769871065E-2</v>
      </c>
      <c r="F9" s="67">
        <v>21448497.199999999</v>
      </c>
      <c r="G9" s="64" t="s">
        <v>109</v>
      </c>
      <c r="H9" s="64">
        <v>7.85</v>
      </c>
      <c r="I9" s="68" t="s">
        <v>114</v>
      </c>
      <c r="J9" s="64">
        <v>9.6564999999999998E-2</v>
      </c>
      <c r="K9" s="64">
        <v>31</v>
      </c>
      <c r="L9" s="75">
        <f ca="1">IF(SUMPRODUCT(1*(G9:$G$52=G9))&gt;=2,0,SUMPRODUCT($E$2:E9*($G$2:G9=G9)))</f>
        <v>0</v>
      </c>
      <c r="M9" s="64" t="s">
        <v>86</v>
      </c>
      <c r="N9" s="76">
        <f ca="1">IF(SUMPRODUCT(1*(M9:$M$52=M9))&gt;=2,0,SUMPRODUCT($E$2:E9*($M$2:M9=M9)))</f>
        <v>0</v>
      </c>
      <c r="O9" s="64">
        <v>2.4149639276259938E-3</v>
      </c>
      <c r="P9" s="64" t="s">
        <v>87</v>
      </c>
      <c r="Q9" s="64" t="s">
        <v>88</v>
      </c>
      <c r="R9" s="64" t="s">
        <v>95</v>
      </c>
      <c r="S9" s="64" t="s">
        <v>100</v>
      </c>
      <c r="T9" s="64" t="s">
        <v>91</v>
      </c>
      <c r="U9" s="64">
        <v>3.2807000000000001E-3</v>
      </c>
      <c r="V9" s="64">
        <v>0.45</v>
      </c>
      <c r="W9" s="64">
        <v>2</v>
      </c>
    </row>
    <row r="10" spans="1:23" x14ac:dyDescent="0.35">
      <c r="A10" s="65">
        <v>43584</v>
      </c>
      <c r="B10" s="64" t="s">
        <v>118</v>
      </c>
      <c r="C10" s="64" t="s">
        <v>119</v>
      </c>
      <c r="D10" s="64" t="s">
        <v>108</v>
      </c>
      <c r="E10" s="66">
        <v>4.7357321088856994E-3</v>
      </c>
      <c r="F10" s="67">
        <v>4061562.05</v>
      </c>
      <c r="G10" s="64" t="s">
        <v>120</v>
      </c>
      <c r="H10" s="64">
        <v>7.15</v>
      </c>
      <c r="I10" s="68" t="s">
        <v>121</v>
      </c>
      <c r="J10" s="64">
        <v>9.8629999999999995E-2</v>
      </c>
      <c r="K10" s="64">
        <v>32</v>
      </c>
      <c r="L10" s="75">
        <f ca="1">IF(SUMPRODUCT(1*(G10:$G$52=G10))&gt;=2,0,SUMPRODUCT($E$2:E10*($G$2:G10=G10)))</f>
        <v>0</v>
      </c>
      <c r="M10" s="64" t="s">
        <v>122</v>
      </c>
      <c r="N10" s="76">
        <f ca="1">IF(SUMPRODUCT(1*(M10:$M$52=M10))&gt;=2,0,SUMPRODUCT($E$2:E10*($M$2:M10=M10)))</f>
        <v>0</v>
      </c>
      <c r="O10" s="64">
        <v>4.670852578993965E-4</v>
      </c>
      <c r="P10" s="64" t="s">
        <v>122</v>
      </c>
      <c r="Q10" s="64" t="s">
        <v>88</v>
      </c>
      <c r="R10" s="64" t="s">
        <v>95</v>
      </c>
      <c r="S10" s="64" t="s">
        <v>100</v>
      </c>
      <c r="T10" s="64" t="s">
        <v>91</v>
      </c>
      <c r="U10" s="64">
        <v>3.2807000000000001E-3</v>
      </c>
      <c r="V10" s="64">
        <v>0.45</v>
      </c>
      <c r="W10" s="64">
        <v>1</v>
      </c>
    </row>
    <row r="11" spans="1:23" x14ac:dyDescent="0.35">
      <c r="A11" s="65">
        <v>43584</v>
      </c>
      <c r="B11" s="64" t="s">
        <v>123</v>
      </c>
      <c r="C11" s="64" t="s">
        <v>124</v>
      </c>
      <c r="D11" s="64" t="s">
        <v>108</v>
      </c>
      <c r="E11" s="66">
        <v>2.3678597406185001E-3</v>
      </c>
      <c r="F11" s="67">
        <v>2030775.61</v>
      </c>
      <c r="G11" s="64" t="s">
        <v>125</v>
      </c>
      <c r="H11" s="64">
        <v>7.15</v>
      </c>
      <c r="I11" s="68" t="s">
        <v>121</v>
      </c>
      <c r="J11" s="64">
        <v>9.8629999999999995E-2</v>
      </c>
      <c r="K11" s="64">
        <v>32</v>
      </c>
      <c r="L11" s="75">
        <f ca="1">IF(SUMPRODUCT(1*(G11:$G$52=G11))&gt;=2,0,SUMPRODUCT($E$2:E11*($G$2:G11=G11)))</f>
        <v>2.3678597406185001E-3</v>
      </c>
      <c r="M11" s="64" t="s">
        <v>126</v>
      </c>
      <c r="N11" s="76">
        <f ca="1">IF(SUMPRODUCT(1*(M11:$M$52=M11))&gt;=2,0,SUMPRODUCT($E$2:E11*($M$2:M11=M11)))</f>
        <v>0</v>
      </c>
      <c r="O11" s="64">
        <v>2.3354200621720264E-4</v>
      </c>
      <c r="P11" s="64" t="s">
        <v>77</v>
      </c>
      <c r="Q11" s="64" t="s">
        <v>88</v>
      </c>
      <c r="R11" s="64" t="s">
        <v>95</v>
      </c>
      <c r="S11" s="64" t="s">
        <v>100</v>
      </c>
      <c r="T11" s="64" t="s">
        <v>91</v>
      </c>
      <c r="U11" s="64">
        <v>3.2807000000000001E-3</v>
      </c>
      <c r="V11" s="64">
        <v>0.45</v>
      </c>
      <c r="W11" s="64">
        <v>6</v>
      </c>
    </row>
    <row r="12" spans="1:23" x14ac:dyDescent="0.35">
      <c r="A12" s="65">
        <v>43584</v>
      </c>
      <c r="B12" s="64" t="s">
        <v>127</v>
      </c>
      <c r="C12" s="64" t="s">
        <v>128</v>
      </c>
      <c r="D12" s="64" t="s">
        <v>129</v>
      </c>
      <c r="E12" s="66">
        <v>2.8947006400718345E-2</v>
      </c>
      <c r="F12" s="67">
        <v>24826164.140000001</v>
      </c>
      <c r="G12" s="64" t="s">
        <v>130</v>
      </c>
      <c r="H12" s="64">
        <v>8.14</v>
      </c>
      <c r="I12" s="68" t="s">
        <v>131</v>
      </c>
      <c r="J12" s="64">
        <v>0.114146</v>
      </c>
      <c r="K12" s="64">
        <v>38</v>
      </c>
      <c r="L12" s="75">
        <f ca="1">IF(SUMPRODUCT(1*(G12:$G$52=G12))&gt;=2,0,SUMPRODUCT($E$2:E12*($G$2:G12=G12)))</f>
        <v>2.8947006400718345E-2</v>
      </c>
      <c r="M12" s="64" t="s">
        <v>132</v>
      </c>
      <c r="N12" s="76">
        <f ca="1">IF(SUMPRODUCT(1*(M12:$M$52=M12))&gt;=2,0,SUMPRODUCT($E$2:E12*($M$2:M12=M12)))</f>
        <v>2.8947006400718345E-2</v>
      </c>
      <c r="O12" s="64">
        <v>3.3041849926163961E-3</v>
      </c>
      <c r="P12" s="64" t="s">
        <v>77</v>
      </c>
      <c r="Q12" s="64" t="s">
        <v>88</v>
      </c>
      <c r="R12" s="64" t="s">
        <v>90</v>
      </c>
      <c r="S12" s="64" t="s">
        <v>133</v>
      </c>
      <c r="T12" s="64" t="s">
        <v>81</v>
      </c>
      <c r="U12" s="64">
        <v>4.7660999999999997E-3</v>
      </c>
      <c r="V12" s="64">
        <v>0.45</v>
      </c>
      <c r="W12" s="64">
        <v>5</v>
      </c>
    </row>
    <row r="13" spans="1:23" x14ac:dyDescent="0.35">
      <c r="A13" s="65">
        <v>43584</v>
      </c>
      <c r="B13" s="64" t="s">
        <v>134</v>
      </c>
      <c r="C13" s="64" t="s">
        <v>135</v>
      </c>
      <c r="D13" s="64" t="s">
        <v>108</v>
      </c>
      <c r="E13" s="66">
        <v>5.8854137962522889E-3</v>
      </c>
      <c r="F13" s="67">
        <v>5047577.18</v>
      </c>
      <c r="G13" s="64" t="s">
        <v>136</v>
      </c>
      <c r="H13" s="64">
        <v>7.15</v>
      </c>
      <c r="I13" s="68" t="s">
        <v>137</v>
      </c>
      <c r="J13" s="64">
        <v>0.164383</v>
      </c>
      <c r="K13" s="64">
        <v>56</v>
      </c>
      <c r="L13" s="75">
        <f ca="1">IF(SUMPRODUCT(1*(G13:$G$52=G13))&gt;=2,0,SUMPRODUCT($E$2:E13*($G$2:G13=G13)))</f>
        <v>0</v>
      </c>
      <c r="M13" s="64" t="s">
        <v>126</v>
      </c>
      <c r="N13" s="76">
        <f ca="1">IF(SUMPRODUCT(1*(M13:$M$52=M13))&gt;=2,0,SUMPRODUCT($E$2:E13*($M$2:M13=M13)))</f>
        <v>0</v>
      </c>
      <c r="O13" s="64">
        <v>9.6746197606934002E-4</v>
      </c>
      <c r="P13" s="64" t="s">
        <v>77</v>
      </c>
      <c r="Q13" s="64" t="s">
        <v>88</v>
      </c>
      <c r="R13" s="64" t="s">
        <v>89</v>
      </c>
      <c r="S13" s="64" t="s">
        <v>100</v>
      </c>
      <c r="T13" s="64" t="s">
        <v>91</v>
      </c>
      <c r="U13" s="64">
        <v>2.506E-3</v>
      </c>
      <c r="V13" s="64">
        <v>0.45</v>
      </c>
      <c r="W13" s="64">
        <v>6</v>
      </c>
    </row>
    <row r="14" spans="1:23" x14ac:dyDescent="0.35">
      <c r="A14" s="65">
        <v>43584</v>
      </c>
      <c r="B14" s="64" t="s">
        <v>138</v>
      </c>
      <c r="C14" s="64" t="s">
        <v>139</v>
      </c>
      <c r="D14" s="64" t="s">
        <v>98</v>
      </c>
      <c r="E14" s="66">
        <v>3.1059088849409801E-2</v>
      </c>
      <c r="F14" s="67">
        <v>26637574.440000001</v>
      </c>
      <c r="G14" s="64" t="s">
        <v>109</v>
      </c>
      <c r="H14" s="64">
        <v>8.0299999999999994</v>
      </c>
      <c r="I14" s="68" t="s">
        <v>140</v>
      </c>
      <c r="J14" s="64">
        <v>0.210676</v>
      </c>
      <c r="K14" s="64">
        <v>73</v>
      </c>
      <c r="L14" s="75">
        <f ca="1">IF(SUMPRODUCT(1*(G14:$G$52=G14))&gt;=2,0,SUMPRODUCT($E$2:E14*($G$2:G14=G14)))</f>
        <v>0</v>
      </c>
      <c r="M14" s="64" t="s">
        <v>86</v>
      </c>
      <c r="N14" s="76">
        <f ca="1">IF(SUMPRODUCT(1*(M14:$M$52=M14))&gt;=2,0,SUMPRODUCT($E$2:E14*($M$2:M14=M14)))</f>
        <v>0</v>
      </c>
      <c r="O14" s="64">
        <v>6.5434046024382591E-3</v>
      </c>
      <c r="P14" s="64" t="s">
        <v>87</v>
      </c>
      <c r="Q14" s="64" t="s">
        <v>88</v>
      </c>
      <c r="R14" s="64" t="s">
        <v>95</v>
      </c>
      <c r="S14" s="64" t="s">
        <v>100</v>
      </c>
      <c r="T14" s="64" t="s">
        <v>91</v>
      </c>
      <c r="U14" s="64">
        <v>3.2807000000000001E-3</v>
      </c>
      <c r="V14" s="64">
        <v>0.45</v>
      </c>
      <c r="W14" s="64">
        <v>2</v>
      </c>
    </row>
    <row r="15" spans="1:23" x14ac:dyDescent="0.35">
      <c r="A15" s="65">
        <v>43584</v>
      </c>
      <c r="B15" s="64" t="s">
        <v>141</v>
      </c>
      <c r="C15" s="64" t="s">
        <v>142</v>
      </c>
      <c r="D15" s="64" t="s">
        <v>143</v>
      </c>
      <c r="E15" s="66">
        <v>3.504035722787336E-2</v>
      </c>
      <c r="F15" s="67">
        <v>30052076.82</v>
      </c>
      <c r="G15" s="64" t="s">
        <v>109</v>
      </c>
      <c r="H15" s="64">
        <v>7.16</v>
      </c>
      <c r="I15" s="68" t="s">
        <v>144</v>
      </c>
      <c r="J15" s="64">
        <v>0.23636699999999999</v>
      </c>
      <c r="K15" s="64">
        <v>84</v>
      </c>
      <c r="L15" s="75">
        <f ca="1">IF(SUMPRODUCT(1*(G15:$G$52=G15))&gt;=2,0,SUMPRODUCT($E$2:E15*($G$2:G15=G15)))</f>
        <v>0</v>
      </c>
      <c r="M15" s="64" t="s">
        <v>86</v>
      </c>
      <c r="N15" s="76">
        <f ca="1">IF(SUMPRODUCT(1*(M15:$M$52=M15))&gt;=2,0,SUMPRODUCT($E$2:E15*($M$2:M15=M15)))</f>
        <v>0</v>
      </c>
      <c r="O15" s="64">
        <v>8.2823841168807415E-3</v>
      </c>
      <c r="P15" s="64" t="s">
        <v>87</v>
      </c>
      <c r="Q15" s="64" t="s">
        <v>88</v>
      </c>
      <c r="R15" s="64" t="s">
        <v>95</v>
      </c>
      <c r="S15" s="64" t="s">
        <v>100</v>
      </c>
      <c r="T15" s="64" t="s">
        <v>91</v>
      </c>
      <c r="U15" s="64">
        <v>3.2807000000000001E-3</v>
      </c>
      <c r="V15" s="64">
        <v>0.45</v>
      </c>
      <c r="W15" s="64">
        <v>2</v>
      </c>
    </row>
    <row r="16" spans="1:23" x14ac:dyDescent="0.35">
      <c r="A16" s="65">
        <v>43584</v>
      </c>
      <c r="B16" s="64" t="s">
        <v>145</v>
      </c>
      <c r="C16" s="64" t="s">
        <v>146</v>
      </c>
      <c r="D16" s="64" t="s">
        <v>98</v>
      </c>
      <c r="E16" s="66">
        <v>3.7082695318875925E-2</v>
      </c>
      <c r="F16" s="67">
        <v>31803671.440000001</v>
      </c>
      <c r="G16" s="64" t="s">
        <v>147</v>
      </c>
      <c r="H16" s="64">
        <v>8.23</v>
      </c>
      <c r="I16" s="68" t="s">
        <v>148</v>
      </c>
      <c r="J16" s="64">
        <v>0.30151099999999997</v>
      </c>
      <c r="K16" s="64">
        <v>107</v>
      </c>
      <c r="L16" s="75">
        <f ca="1">IF(SUMPRODUCT(1*(G16:$G$52=G16))&gt;=2,0,SUMPRODUCT($E$2:E16*($G$2:G16=G16)))</f>
        <v>0</v>
      </c>
      <c r="M16" s="64" t="s">
        <v>86</v>
      </c>
      <c r="N16" s="76">
        <f ca="1">IF(SUMPRODUCT(1*(M16:$M$52=M16))&gt;=2,0,SUMPRODUCT($E$2:E16*($M$2:M16=M16)))</f>
        <v>0</v>
      </c>
      <c r="O16" s="64">
        <v>1.1180840548289599E-2</v>
      </c>
      <c r="P16" s="64" t="s">
        <v>87</v>
      </c>
      <c r="Q16" s="64" t="s">
        <v>88</v>
      </c>
      <c r="R16" s="64" t="s">
        <v>95</v>
      </c>
      <c r="S16" s="64" t="s">
        <v>100</v>
      </c>
      <c r="T16" s="64" t="s">
        <v>105</v>
      </c>
      <c r="U16" s="64">
        <v>3.2807000000000001E-3</v>
      </c>
      <c r="V16" s="64">
        <v>0.45</v>
      </c>
      <c r="W16" s="64">
        <v>2</v>
      </c>
    </row>
    <row r="17" spans="1:23" x14ac:dyDescent="0.35">
      <c r="A17" s="65">
        <v>43584</v>
      </c>
      <c r="B17" s="64" t="s">
        <v>149</v>
      </c>
      <c r="C17" s="64" t="s">
        <v>150</v>
      </c>
      <c r="D17" s="64" t="s">
        <v>108</v>
      </c>
      <c r="E17" s="66">
        <v>1.4041582661822519E-2</v>
      </c>
      <c r="F17" s="67">
        <v>12042648.939999999</v>
      </c>
      <c r="G17" s="64" t="s">
        <v>151</v>
      </c>
      <c r="H17" s="64">
        <v>7.16</v>
      </c>
      <c r="I17" s="68" t="s">
        <v>152</v>
      </c>
      <c r="J17" s="64">
        <v>0.21917800000000001</v>
      </c>
      <c r="K17" s="64">
        <v>141</v>
      </c>
      <c r="L17" s="75">
        <f ca="1">IF(SUMPRODUCT(1*(G17:$G$52=G17))&gt;=2,0,SUMPRODUCT($E$2:E17*($G$2:G17=G17)))</f>
        <v>0</v>
      </c>
      <c r="M17" s="64" t="s">
        <v>86</v>
      </c>
      <c r="N17" s="76">
        <f ca="1">IF(SUMPRODUCT(1*(M17:$M$52=M17))&gt;=2,0,SUMPRODUCT($E$2:E17*($M$2:M17=M17)))</f>
        <v>0</v>
      </c>
      <c r="O17" s="64">
        <v>3.0776060046529361E-3</v>
      </c>
      <c r="P17" s="64" t="s">
        <v>87</v>
      </c>
      <c r="Q17" s="64" t="s">
        <v>88</v>
      </c>
      <c r="R17" s="64" t="s">
        <v>95</v>
      </c>
      <c r="S17" s="64" t="s">
        <v>100</v>
      </c>
      <c r="T17" s="64" t="s">
        <v>105</v>
      </c>
      <c r="U17" s="64">
        <v>3.2807000000000001E-3</v>
      </c>
      <c r="V17" s="64">
        <v>0.45</v>
      </c>
      <c r="W17" s="64">
        <v>2</v>
      </c>
    </row>
    <row r="18" spans="1:23" x14ac:dyDescent="0.35">
      <c r="A18" s="65">
        <v>43584</v>
      </c>
      <c r="B18" s="64" t="s">
        <v>153</v>
      </c>
      <c r="C18" s="64" t="s">
        <v>154</v>
      </c>
      <c r="D18" s="64" t="s">
        <v>108</v>
      </c>
      <c r="E18" s="66">
        <v>2.3581373104528337E-2</v>
      </c>
      <c r="F18" s="67">
        <v>20224372.469999999</v>
      </c>
      <c r="G18" s="64" t="s">
        <v>155</v>
      </c>
      <c r="H18" s="64">
        <v>7.15</v>
      </c>
      <c r="I18" s="68" t="s">
        <v>156</v>
      </c>
      <c r="J18" s="64">
        <v>0.15068400000000001</v>
      </c>
      <c r="K18" s="64">
        <v>143</v>
      </c>
      <c r="L18" s="75">
        <f ca="1">IF(SUMPRODUCT(1*(G18:$G$52=G18))&gt;=2,0,SUMPRODUCT($E$2:E18*($G$2:G18=G18)))</f>
        <v>2.3581373104528337E-2</v>
      </c>
      <c r="M18" s="64" t="s">
        <v>122</v>
      </c>
      <c r="N18" s="76">
        <f ca="1">IF(SUMPRODUCT(1*(M18:$M$52=M18))&gt;=2,0,SUMPRODUCT($E$2:E18*($M$2:M18=M18)))</f>
        <v>0</v>
      </c>
      <c r="O18" s="64">
        <v>3.5533356248827483E-3</v>
      </c>
      <c r="P18" s="64" t="s">
        <v>122</v>
      </c>
      <c r="Q18" s="64" t="s">
        <v>157</v>
      </c>
      <c r="R18" s="64" t="s">
        <v>89</v>
      </c>
      <c r="S18" s="64" t="s">
        <v>100</v>
      </c>
      <c r="T18" s="64" t="s">
        <v>91</v>
      </c>
      <c r="U18" s="64">
        <v>2.506E-3</v>
      </c>
      <c r="V18" s="64">
        <v>0.1</v>
      </c>
      <c r="W18" s="64">
        <v>1</v>
      </c>
    </row>
    <row r="19" spans="1:23" x14ac:dyDescent="0.35">
      <c r="A19" s="65">
        <v>43584</v>
      </c>
      <c r="B19" s="64" t="s">
        <v>158</v>
      </c>
      <c r="C19" s="64" t="s">
        <v>159</v>
      </c>
      <c r="D19" s="64" t="s">
        <v>98</v>
      </c>
      <c r="E19" s="66">
        <v>1.22796507331598E-2</v>
      </c>
      <c r="F19" s="67">
        <v>10531542.380000001</v>
      </c>
      <c r="G19" s="64" t="s">
        <v>147</v>
      </c>
      <c r="H19" s="64">
        <v>8.35</v>
      </c>
      <c r="I19" s="68" t="s">
        <v>156</v>
      </c>
      <c r="J19" s="64">
        <v>0.39615699999999998</v>
      </c>
      <c r="K19" s="64">
        <v>143</v>
      </c>
      <c r="L19" s="75">
        <f ca="1">IF(SUMPRODUCT(1*(G19:$G$52=G19))&gt;=2,0,SUMPRODUCT($E$2:E19*($G$2:G19=G19)))</f>
        <v>0</v>
      </c>
      <c r="M19" s="64" t="s">
        <v>86</v>
      </c>
      <c r="N19" s="76">
        <f ca="1">IF(SUMPRODUCT(1*(M19:$M$52=M19))&gt;=2,0,SUMPRODUCT($E$2:E19*($M$2:M19=M19)))</f>
        <v>0</v>
      </c>
      <c r="O19" s="64">
        <v>4.8646695954963869E-3</v>
      </c>
      <c r="P19" s="64" t="s">
        <v>87</v>
      </c>
      <c r="Q19" s="64" t="s">
        <v>88</v>
      </c>
      <c r="R19" s="64" t="s">
        <v>95</v>
      </c>
      <c r="S19" s="64" t="s">
        <v>100</v>
      </c>
      <c r="T19" s="64" t="s">
        <v>105</v>
      </c>
      <c r="U19" s="64">
        <v>3.2807000000000001E-3</v>
      </c>
      <c r="V19" s="64">
        <v>0.45</v>
      </c>
      <c r="W19" s="64">
        <v>2</v>
      </c>
    </row>
    <row r="20" spans="1:23" x14ac:dyDescent="0.35">
      <c r="A20" s="65">
        <v>43584</v>
      </c>
      <c r="B20" s="64" t="s">
        <v>160</v>
      </c>
      <c r="C20" s="64" t="s">
        <v>161</v>
      </c>
      <c r="D20" s="64" t="s">
        <v>98</v>
      </c>
      <c r="E20" s="66">
        <v>7.3609904475731543E-3</v>
      </c>
      <c r="F20" s="67">
        <v>6313093.4699999997</v>
      </c>
      <c r="G20" s="64" t="s">
        <v>109</v>
      </c>
      <c r="H20" s="64">
        <v>8.25</v>
      </c>
      <c r="I20" s="68" t="s">
        <v>156</v>
      </c>
      <c r="J20" s="64">
        <v>0.39615699999999998</v>
      </c>
      <c r="K20" s="64">
        <v>143</v>
      </c>
      <c r="L20" s="75">
        <f ca="1">IF(SUMPRODUCT(1*(G20:$G$52=G20))&gt;=2,0,SUMPRODUCT($E$2:E20*($G$2:G20=G20)))</f>
        <v>0</v>
      </c>
      <c r="M20" s="64" t="s">
        <v>86</v>
      </c>
      <c r="N20" s="76">
        <f ca="1">IF(SUMPRODUCT(1*(M20:$M$52=M20))&gt;=2,0,SUMPRODUCT($E$2:E20*($M$2:M20=M20)))</f>
        <v>0</v>
      </c>
      <c r="O20" s="64">
        <v>2.9161078927392378E-3</v>
      </c>
      <c r="P20" s="64" t="s">
        <v>87</v>
      </c>
      <c r="Q20" s="64" t="s">
        <v>88</v>
      </c>
      <c r="R20" s="64" t="s">
        <v>95</v>
      </c>
      <c r="S20" s="64" t="s">
        <v>100</v>
      </c>
      <c r="T20" s="64" t="s">
        <v>91</v>
      </c>
      <c r="U20" s="64">
        <v>3.2807000000000001E-3</v>
      </c>
      <c r="V20" s="64">
        <v>0.45</v>
      </c>
      <c r="W20" s="64">
        <v>2</v>
      </c>
    </row>
    <row r="21" spans="1:23" x14ac:dyDescent="0.35">
      <c r="A21" s="65">
        <v>43584</v>
      </c>
      <c r="B21" s="64" t="s">
        <v>162</v>
      </c>
      <c r="C21" s="64" t="s">
        <v>163</v>
      </c>
      <c r="D21" s="64" t="s">
        <v>98</v>
      </c>
      <c r="E21" s="66">
        <v>5.2778131531503514E-2</v>
      </c>
      <c r="F21" s="67">
        <v>45264734.399999999</v>
      </c>
      <c r="G21" s="64" t="s">
        <v>164</v>
      </c>
      <c r="H21" s="64">
        <v>8.3000000000000007</v>
      </c>
      <c r="I21" s="68" t="s">
        <v>156</v>
      </c>
      <c r="J21" s="64">
        <v>0.39615699999999998</v>
      </c>
      <c r="K21" s="64">
        <v>143</v>
      </c>
      <c r="L21" s="75">
        <f ca="1">IF(SUMPRODUCT(1*(G21:$G$52=G21))&gt;=2,0,SUMPRODUCT($E$2:E21*($G$2:G21=G21)))</f>
        <v>5.2778131531503514E-2</v>
      </c>
      <c r="M21" s="64" t="s">
        <v>86</v>
      </c>
      <c r="N21" s="76">
        <f ca="1">IF(SUMPRODUCT(1*(M21:$M$52=M21))&gt;=2,0,SUMPRODUCT($E$2:E21*($M$2:M21=M21)))</f>
        <v>0</v>
      </c>
      <c r="O21" s="64">
        <v>2.0908426253125837E-2</v>
      </c>
      <c r="P21" s="64" t="s">
        <v>87</v>
      </c>
      <c r="Q21" s="64" t="s">
        <v>88</v>
      </c>
      <c r="R21" s="64" t="s">
        <v>165</v>
      </c>
      <c r="S21" s="64" t="s">
        <v>133</v>
      </c>
      <c r="T21" s="64" t="s">
        <v>105</v>
      </c>
      <c r="U21" s="64">
        <v>4.0233999999999999E-3</v>
      </c>
      <c r="V21" s="64">
        <v>0.45</v>
      </c>
      <c r="W21" s="64">
        <v>2</v>
      </c>
    </row>
    <row r="22" spans="1:23" x14ac:dyDescent="0.35">
      <c r="A22" s="65">
        <v>43584</v>
      </c>
      <c r="B22" s="64" t="s">
        <v>166</v>
      </c>
      <c r="C22" s="64" t="s">
        <v>167</v>
      </c>
      <c r="D22" s="64" t="s">
        <v>98</v>
      </c>
      <c r="E22" s="66">
        <v>7.3643904449005046E-3</v>
      </c>
      <c r="F22" s="67">
        <v>6316009.4500000002</v>
      </c>
      <c r="G22" s="64" t="s">
        <v>94</v>
      </c>
      <c r="H22" s="64">
        <v>8.3000000000000007</v>
      </c>
      <c r="I22" s="68" t="s">
        <v>156</v>
      </c>
      <c r="J22" s="64">
        <v>0.39615699999999998</v>
      </c>
      <c r="K22" s="64">
        <v>143</v>
      </c>
      <c r="L22" s="75">
        <f ca="1">IF(SUMPRODUCT(1*(G22:$G$52=G22))&gt;=2,0,SUMPRODUCT($E$2:E22*($G$2:G22=G22)))</f>
        <v>0</v>
      </c>
      <c r="M22" s="64" t="s">
        <v>86</v>
      </c>
      <c r="N22" s="76">
        <f ca="1">IF(SUMPRODUCT(1*(M22:$M$52=M22))&gt;=2,0,SUMPRODUCT($E$2:E22*($M$2:M22=M22)))</f>
        <v>0</v>
      </c>
      <c r="O22" s="64">
        <v>2.9174548254804491E-3</v>
      </c>
      <c r="P22" s="64" t="s">
        <v>87</v>
      </c>
      <c r="Q22" s="64" t="s">
        <v>88</v>
      </c>
      <c r="R22" s="64" t="s">
        <v>95</v>
      </c>
      <c r="S22" s="64" t="s">
        <v>100</v>
      </c>
      <c r="T22" s="64" t="s">
        <v>81</v>
      </c>
      <c r="U22" s="64">
        <v>3.2807000000000001E-3</v>
      </c>
      <c r="V22" s="64">
        <v>0.45</v>
      </c>
      <c r="W22" s="64">
        <v>2</v>
      </c>
    </row>
    <row r="23" spans="1:23" x14ac:dyDescent="0.35">
      <c r="A23" s="65">
        <v>43584</v>
      </c>
      <c r="B23" s="64" t="s">
        <v>168</v>
      </c>
      <c r="C23" s="64" t="s">
        <v>169</v>
      </c>
      <c r="D23" s="64" t="s">
        <v>143</v>
      </c>
      <c r="E23" s="66">
        <v>1.8797292422203671E-2</v>
      </c>
      <c r="F23" s="67">
        <v>16121344.66</v>
      </c>
      <c r="G23" s="64" t="s">
        <v>147</v>
      </c>
      <c r="H23" s="64">
        <v>7.15</v>
      </c>
      <c r="I23" s="68" t="s">
        <v>170</v>
      </c>
      <c r="J23" s="64">
        <v>0.166547</v>
      </c>
      <c r="K23" s="64">
        <v>150</v>
      </c>
      <c r="L23" s="75">
        <f ca="1">IF(SUMPRODUCT(1*(G23:$G$52=G23))&gt;=2,0,SUMPRODUCT($E$2:E23*($G$2:G23=G23)))</f>
        <v>0</v>
      </c>
      <c r="M23" s="64" t="s">
        <v>86</v>
      </c>
      <c r="N23" s="76">
        <f ca="1">IF(SUMPRODUCT(1*(M23:$M$52=M23))&gt;=2,0,SUMPRODUCT($E$2:E23*($M$2:M23=M23)))</f>
        <v>0</v>
      </c>
      <c r="O23" s="64">
        <v>3.1306326610407551E-3</v>
      </c>
      <c r="P23" s="64" t="s">
        <v>87</v>
      </c>
      <c r="Q23" s="64" t="s">
        <v>88</v>
      </c>
      <c r="R23" s="64" t="s">
        <v>95</v>
      </c>
      <c r="S23" s="64" t="s">
        <v>100</v>
      </c>
      <c r="T23" s="64" t="s">
        <v>105</v>
      </c>
      <c r="U23" s="64">
        <v>3.2807000000000001E-3</v>
      </c>
      <c r="V23" s="64">
        <v>0.45</v>
      </c>
      <c r="W23" s="64">
        <v>2</v>
      </c>
    </row>
    <row r="24" spans="1:23" x14ac:dyDescent="0.35">
      <c r="A24" s="65">
        <v>43584</v>
      </c>
      <c r="B24" s="64" t="s">
        <v>171</v>
      </c>
      <c r="C24" s="64" t="s">
        <v>172</v>
      </c>
      <c r="D24" s="64" t="s">
        <v>143</v>
      </c>
      <c r="E24" s="66">
        <v>2.9356595741231364E-2</v>
      </c>
      <c r="F24" s="67">
        <v>25177445.100000001</v>
      </c>
      <c r="G24" s="64" t="s">
        <v>173</v>
      </c>
      <c r="H24" s="64">
        <v>7.15</v>
      </c>
      <c r="I24" s="68" t="s">
        <v>170</v>
      </c>
      <c r="J24" s="64">
        <v>0.17696500000000001</v>
      </c>
      <c r="K24" s="64">
        <v>150</v>
      </c>
      <c r="L24" s="75">
        <f ca="1">IF(SUMPRODUCT(1*(G24:$G$52=G24))&gt;=2,0,SUMPRODUCT($E$2:E24*($G$2:G24=G24)))</f>
        <v>2.9356595741231364E-2</v>
      </c>
      <c r="M24" s="64" t="s">
        <v>174</v>
      </c>
      <c r="N24" s="76">
        <f ca="1">IF(SUMPRODUCT(1*(M24:$M$52=M24))&gt;=2,0,SUMPRODUCT($E$2:E24*($M$2:M24=M24)))</f>
        <v>2.9356595741231364E-2</v>
      </c>
      <c r="O24" s="64">
        <v>5.1950899653470089E-3</v>
      </c>
      <c r="P24" s="64" t="s">
        <v>77</v>
      </c>
      <c r="Q24" s="64" t="s">
        <v>88</v>
      </c>
      <c r="R24" s="64" t="s">
        <v>79</v>
      </c>
      <c r="S24" s="64" t="s">
        <v>80</v>
      </c>
      <c r="T24" s="64" t="s">
        <v>81</v>
      </c>
      <c r="U24" s="64">
        <v>7.4332000000000001E-3</v>
      </c>
      <c r="V24" s="64">
        <v>0.18</v>
      </c>
      <c r="W24" s="64">
        <v>6</v>
      </c>
    </row>
    <row r="25" spans="1:23" x14ac:dyDescent="0.35">
      <c r="A25" s="65">
        <v>43584</v>
      </c>
      <c r="B25" s="64" t="s">
        <v>175</v>
      </c>
      <c r="C25" s="64" t="s">
        <v>176</v>
      </c>
      <c r="D25" s="64" t="s">
        <v>98</v>
      </c>
      <c r="E25" s="66">
        <v>3.9209237976092354E-2</v>
      </c>
      <c r="F25" s="67">
        <v>33627483.420000002</v>
      </c>
      <c r="G25" s="64" t="s">
        <v>147</v>
      </c>
      <c r="H25" s="64">
        <v>8.2799999999999994</v>
      </c>
      <c r="I25" s="68" t="s">
        <v>170</v>
      </c>
      <c r="J25" s="64">
        <v>0.41438399999999997</v>
      </c>
      <c r="K25" s="64">
        <v>150</v>
      </c>
      <c r="L25" s="75">
        <f ca="1">IF(SUMPRODUCT(1*(G25:$G$52=G25))&gt;=2,0,SUMPRODUCT($E$2:E25*($G$2:G25=G25)))</f>
        <v>0</v>
      </c>
      <c r="M25" s="64" t="s">
        <v>86</v>
      </c>
      <c r="N25" s="76">
        <f ca="1">IF(SUMPRODUCT(1*(M25:$M$52=M25))&gt;=2,0,SUMPRODUCT($E$2:E25*($M$2:M25=M25)))</f>
        <v>0</v>
      </c>
      <c r="O25" s="64">
        <v>1.6247680869485054E-2</v>
      </c>
      <c r="P25" s="64" t="s">
        <v>87</v>
      </c>
      <c r="Q25" s="64" t="s">
        <v>88</v>
      </c>
      <c r="R25" s="64" t="s">
        <v>95</v>
      </c>
      <c r="S25" s="64" t="s">
        <v>100</v>
      </c>
      <c r="T25" s="64" t="s">
        <v>105</v>
      </c>
      <c r="U25" s="64">
        <v>3.2807000000000001E-3</v>
      </c>
      <c r="V25" s="64">
        <v>0.45</v>
      </c>
      <c r="W25" s="64">
        <v>2</v>
      </c>
    </row>
    <row r="26" spans="1:23" x14ac:dyDescent="0.35">
      <c r="A26" s="65">
        <v>43584</v>
      </c>
      <c r="B26" s="64" t="s">
        <v>177</v>
      </c>
      <c r="C26" s="64" t="s">
        <v>178</v>
      </c>
      <c r="D26" s="64" t="s">
        <v>108</v>
      </c>
      <c r="E26" s="66">
        <v>3.2801000183243584E-2</v>
      </c>
      <c r="F26" s="67">
        <v>28131510.5</v>
      </c>
      <c r="G26" s="64" t="s">
        <v>179</v>
      </c>
      <c r="H26" s="64">
        <v>7.16</v>
      </c>
      <c r="I26" s="68" t="s">
        <v>180</v>
      </c>
      <c r="J26" s="64">
        <v>0.20547899999999999</v>
      </c>
      <c r="K26" s="64">
        <v>163</v>
      </c>
      <c r="L26" s="75">
        <f ca="1">IF(SUMPRODUCT(1*(G26:$G$52=G26))&gt;=2,0,SUMPRODUCT($E$2:E26*($G$2:G26=G26)))</f>
        <v>3.2801000183243584E-2</v>
      </c>
      <c r="M26" s="64" t="s">
        <v>86</v>
      </c>
      <c r="N26" s="76">
        <f ca="1">IF(SUMPRODUCT(1*(M26:$M$52=M26))&gt;=2,0,SUMPRODUCT($E$2:E26*($M$2:M26=M26)))</f>
        <v>0</v>
      </c>
      <c r="O26" s="64">
        <v>6.739916716652708E-3</v>
      </c>
      <c r="P26" s="64" t="s">
        <v>87</v>
      </c>
      <c r="Q26" s="64" t="s">
        <v>88</v>
      </c>
      <c r="R26" s="64" t="s">
        <v>89</v>
      </c>
      <c r="S26" s="64" t="s">
        <v>100</v>
      </c>
      <c r="T26" s="64" t="s">
        <v>105</v>
      </c>
      <c r="U26" s="64">
        <v>2.506E-3</v>
      </c>
      <c r="V26" s="64">
        <v>0.45</v>
      </c>
      <c r="W26" s="64">
        <v>2</v>
      </c>
    </row>
    <row r="27" spans="1:23" x14ac:dyDescent="0.35">
      <c r="A27" s="65">
        <v>43584</v>
      </c>
      <c r="B27" s="64" t="s">
        <v>181</v>
      </c>
      <c r="C27" s="64" t="s">
        <v>182</v>
      </c>
      <c r="D27" s="64" t="s">
        <v>183</v>
      </c>
      <c r="E27" s="66">
        <v>9.3521821072684429E-3</v>
      </c>
      <c r="F27" s="67">
        <v>8020822.7699999996</v>
      </c>
      <c r="G27" s="64" t="s">
        <v>94</v>
      </c>
      <c r="H27" s="64">
        <v>7.16</v>
      </c>
      <c r="I27" s="68" t="s">
        <v>184</v>
      </c>
      <c r="J27" s="64">
        <v>0.220276</v>
      </c>
      <c r="K27" s="64">
        <v>170</v>
      </c>
      <c r="L27" s="75">
        <f ca="1">IF(SUMPRODUCT(1*(G27:$G$52=G27))&gt;=2,0,SUMPRODUCT($E$2:E27*($G$2:G27=G27)))</f>
        <v>0</v>
      </c>
      <c r="M27" s="64" t="s">
        <v>86</v>
      </c>
      <c r="N27" s="76">
        <f ca="1">IF(SUMPRODUCT(1*(M27:$M$52=M27))&gt;=2,0,SUMPRODUCT($E$2:E27*($M$2:M27=M27)))</f>
        <v>0</v>
      </c>
      <c r="O27" s="64">
        <v>2.0600612658606635E-3</v>
      </c>
      <c r="P27" s="64" t="s">
        <v>87</v>
      </c>
      <c r="Q27" s="64" t="s">
        <v>88</v>
      </c>
      <c r="R27" s="64" t="s">
        <v>95</v>
      </c>
      <c r="S27" s="64" t="s">
        <v>80</v>
      </c>
      <c r="T27" s="64" t="s">
        <v>81</v>
      </c>
      <c r="U27" s="64">
        <v>3.2807000000000001E-3</v>
      </c>
      <c r="V27" s="64">
        <v>0.45</v>
      </c>
      <c r="W27" s="64">
        <v>2</v>
      </c>
    </row>
    <row r="28" spans="1:23" x14ac:dyDescent="0.35">
      <c r="A28" s="65">
        <v>43584</v>
      </c>
      <c r="B28" s="64" t="s">
        <v>185</v>
      </c>
      <c r="C28" s="64" t="s">
        <v>186</v>
      </c>
      <c r="D28" s="64" t="s">
        <v>98</v>
      </c>
      <c r="E28" s="66">
        <v>1.220159358150606E-2</v>
      </c>
      <c r="F28" s="67">
        <v>10464597.300000001</v>
      </c>
      <c r="G28" s="64" t="s">
        <v>147</v>
      </c>
      <c r="H28" s="64">
        <v>8.35</v>
      </c>
      <c r="I28" s="68" t="s">
        <v>187</v>
      </c>
      <c r="J28" s="64">
        <v>0.47117700000000001</v>
      </c>
      <c r="K28" s="64">
        <v>172</v>
      </c>
      <c r="L28" s="75">
        <f ca="1">IF(SUMPRODUCT(1*(G28:$G$52=G28))&gt;=2,0,SUMPRODUCT($E$2:E28*($G$2:G28=G28)))</f>
        <v>0.11957047003183781</v>
      </c>
      <c r="M28" s="64" t="s">
        <v>86</v>
      </c>
      <c r="N28" s="76">
        <f ca="1">IF(SUMPRODUCT(1*(M28:$M$52=M28))&gt;=2,0,SUMPRODUCT($E$2:E28*($M$2:M28=M28)))</f>
        <v>0</v>
      </c>
      <c r="O28" s="64">
        <v>5.7491102589532815E-3</v>
      </c>
      <c r="P28" s="64" t="s">
        <v>87</v>
      </c>
      <c r="Q28" s="64" t="s">
        <v>88</v>
      </c>
      <c r="R28" s="64" t="s">
        <v>95</v>
      </c>
      <c r="S28" s="64" t="s">
        <v>100</v>
      </c>
      <c r="T28" s="64" t="s">
        <v>105</v>
      </c>
      <c r="U28" s="64">
        <v>3.2807000000000001E-3</v>
      </c>
      <c r="V28" s="64">
        <v>0.45</v>
      </c>
      <c r="W28" s="64">
        <v>2</v>
      </c>
    </row>
    <row r="29" spans="1:23" x14ac:dyDescent="0.35">
      <c r="A29" s="65">
        <v>43584</v>
      </c>
      <c r="B29" s="64" t="s">
        <v>188</v>
      </c>
      <c r="C29" s="64" t="s">
        <v>189</v>
      </c>
      <c r="D29" s="64" t="s">
        <v>108</v>
      </c>
      <c r="E29" s="66">
        <v>5.3427460152284363E-3</v>
      </c>
      <c r="F29" s="67">
        <v>4582162.58</v>
      </c>
      <c r="G29" s="64" t="s">
        <v>190</v>
      </c>
      <c r="H29" s="64">
        <v>7.15</v>
      </c>
      <c r="I29" s="68" t="s">
        <v>191</v>
      </c>
      <c r="J29" s="64">
        <v>7.3971999999999996E-2</v>
      </c>
      <c r="K29" s="64">
        <v>207</v>
      </c>
      <c r="L29" s="75">
        <f ca="1">IF(SUMPRODUCT(1*(G29:$G$52=G29))&gt;=2,0,SUMPRODUCT($E$2:E29*($G$2:G29=G29)))</f>
        <v>5.3427460152284363E-3</v>
      </c>
      <c r="M29" s="64" t="s">
        <v>192</v>
      </c>
      <c r="N29" s="76">
        <f ca="1">IF(SUMPRODUCT(1*(M29:$M$52=M29))&gt;=2,0,SUMPRODUCT($E$2:E29*($M$2:M29=M29)))</f>
        <v>0</v>
      </c>
      <c r="O29" s="64">
        <v>3.9521360823847787E-4</v>
      </c>
      <c r="P29" s="64" t="s">
        <v>193</v>
      </c>
      <c r="Q29" s="64" t="s">
        <v>88</v>
      </c>
      <c r="R29" s="64" t="s">
        <v>89</v>
      </c>
      <c r="S29" s="64" t="s">
        <v>100</v>
      </c>
      <c r="T29" s="64" t="s">
        <v>194</v>
      </c>
      <c r="U29" s="64">
        <v>2.506E-3</v>
      </c>
      <c r="V29" s="64">
        <v>0.18</v>
      </c>
      <c r="W29" s="64">
        <v>6</v>
      </c>
    </row>
    <row r="30" spans="1:23" x14ac:dyDescent="0.35">
      <c r="A30" s="65">
        <v>43584</v>
      </c>
      <c r="B30" s="64" t="s">
        <v>195</v>
      </c>
      <c r="C30" s="64" t="s">
        <v>196</v>
      </c>
      <c r="D30" s="64" t="s">
        <v>108</v>
      </c>
      <c r="E30" s="66">
        <v>1.1873110007867751E-2</v>
      </c>
      <c r="F30" s="67">
        <v>10182876.039999999</v>
      </c>
      <c r="G30" s="64" t="s">
        <v>197</v>
      </c>
      <c r="H30" s="64">
        <v>7.15</v>
      </c>
      <c r="I30" s="68" t="s">
        <v>198</v>
      </c>
      <c r="J30" s="64">
        <v>7.9451999999999995E-2</v>
      </c>
      <c r="K30" s="64">
        <v>209</v>
      </c>
      <c r="L30" s="75">
        <f ca="1">IF(SUMPRODUCT(1*(G30:$G$52=G30))&gt;=2,0,SUMPRODUCT($E$2:E30*($G$2:G30=G30)))</f>
        <v>1.1873110007867751E-2</v>
      </c>
      <c r="M30" s="64" t="s">
        <v>122</v>
      </c>
      <c r="N30" s="76">
        <f ca="1">IF(SUMPRODUCT(1*(M30:$M$52=M30))&gt;=2,0,SUMPRODUCT($E$2:E30*($M$2:M30=M30)))</f>
        <v>0</v>
      </c>
      <c r="O30" s="64">
        <v>9.4334233634510846E-4</v>
      </c>
      <c r="P30" s="64" t="s">
        <v>122</v>
      </c>
      <c r="Q30" s="64" t="s">
        <v>88</v>
      </c>
      <c r="R30" s="64" t="s">
        <v>95</v>
      </c>
      <c r="S30" s="64" t="s">
        <v>100</v>
      </c>
      <c r="T30" s="64" t="s">
        <v>91</v>
      </c>
      <c r="U30" s="64">
        <v>3.2807000000000001E-3</v>
      </c>
      <c r="V30" s="64">
        <v>0.45</v>
      </c>
      <c r="W30" s="64">
        <v>1</v>
      </c>
    </row>
    <row r="31" spans="1:23" x14ac:dyDescent="0.35">
      <c r="A31" s="65">
        <v>43584</v>
      </c>
      <c r="B31" s="64" t="s">
        <v>199</v>
      </c>
      <c r="C31" s="64" t="s">
        <v>200</v>
      </c>
      <c r="D31" s="64" t="s">
        <v>201</v>
      </c>
      <c r="E31" s="66">
        <v>3.3467192055262933E-2</v>
      </c>
      <c r="F31" s="67">
        <v>28702864.530000001</v>
      </c>
      <c r="G31" s="64" t="s">
        <v>202</v>
      </c>
      <c r="H31" s="64">
        <v>7.62</v>
      </c>
      <c r="I31" s="68" t="s">
        <v>203</v>
      </c>
      <c r="J31" s="64">
        <v>0.60059799999999997</v>
      </c>
      <c r="K31" s="64">
        <v>226</v>
      </c>
      <c r="L31" s="75">
        <f ca="1">IF(SUMPRODUCT(1*(G31:$G$52=G31))&gt;=2,0,SUMPRODUCT($E$2:E31*($G$2:G31=G31)))</f>
        <v>3.3467192055262933E-2</v>
      </c>
      <c r="M31" s="64" t="s">
        <v>204</v>
      </c>
      <c r="N31" s="76">
        <f ca="1">IF(SUMPRODUCT(1*(M31:$M$52=M31))&gt;=2,0,SUMPRODUCT($E$2:E31*($M$2:M31=M31)))</f>
        <v>3.3467192055262933E-2</v>
      </c>
      <c r="O31" s="64">
        <v>2.0100328614006804E-2</v>
      </c>
      <c r="P31" s="64" t="s">
        <v>204</v>
      </c>
      <c r="Q31" s="64" t="s">
        <v>157</v>
      </c>
      <c r="R31" s="64" t="s">
        <v>89</v>
      </c>
      <c r="S31" s="64" t="s">
        <v>100</v>
      </c>
      <c r="T31" s="64" t="s">
        <v>91</v>
      </c>
      <c r="U31" s="64">
        <v>2.506E-3</v>
      </c>
      <c r="V31" s="64">
        <v>0.1</v>
      </c>
      <c r="W31" s="64">
        <v>1</v>
      </c>
    </row>
    <row r="32" spans="1:23" x14ac:dyDescent="0.35">
      <c r="A32" s="65">
        <v>43584</v>
      </c>
      <c r="B32" s="64" t="s">
        <v>205</v>
      </c>
      <c r="C32" s="64" t="s">
        <v>206</v>
      </c>
      <c r="D32" s="64" t="s">
        <v>98</v>
      </c>
      <c r="E32" s="66">
        <v>1.7672767704478776E-2</v>
      </c>
      <c r="F32" s="67">
        <v>15156905.199999999</v>
      </c>
      <c r="G32" s="64" t="s">
        <v>103</v>
      </c>
      <c r="H32" s="64">
        <v>8.18</v>
      </c>
      <c r="I32" s="68" t="s">
        <v>207</v>
      </c>
      <c r="J32" s="64">
        <v>0.85353900000000005</v>
      </c>
      <c r="K32" s="64">
        <v>326</v>
      </c>
      <c r="L32" s="75">
        <f ca="1">IF(SUMPRODUCT(1*(G32:$G$52=G32))&gt;=2,0,SUMPRODUCT($E$2:E32*($G$2:G32=G32)))</f>
        <v>0</v>
      </c>
      <c r="M32" s="64" t="s">
        <v>86</v>
      </c>
      <c r="N32" s="76">
        <f ca="1">IF(SUMPRODUCT(1*(M32:$M$52=M32))&gt;=2,0,SUMPRODUCT($E$2:E32*($M$2:M32=M32)))</f>
        <v>0</v>
      </c>
      <c r="O32" s="64">
        <v>1.508439647371311E-2</v>
      </c>
      <c r="P32" s="64" t="s">
        <v>87</v>
      </c>
      <c r="Q32" s="64" t="s">
        <v>88</v>
      </c>
      <c r="R32" s="64" t="s">
        <v>95</v>
      </c>
      <c r="S32" s="64" t="s">
        <v>100</v>
      </c>
      <c r="T32" s="64" t="s">
        <v>105</v>
      </c>
      <c r="U32" s="64">
        <v>3.2807000000000001E-3</v>
      </c>
      <c r="V32" s="64">
        <v>0.45</v>
      </c>
      <c r="W32" s="64">
        <v>2</v>
      </c>
    </row>
    <row r="33" spans="1:23" x14ac:dyDescent="0.35">
      <c r="A33" s="65">
        <v>43584</v>
      </c>
      <c r="B33" s="64" t="s">
        <v>208</v>
      </c>
      <c r="C33" s="64" t="s">
        <v>209</v>
      </c>
      <c r="D33" s="64" t="s">
        <v>210</v>
      </c>
      <c r="E33" s="66">
        <v>1.7601573907260935E-2</v>
      </c>
      <c r="F33" s="67">
        <v>15095846.42</v>
      </c>
      <c r="G33" s="64" t="s">
        <v>151</v>
      </c>
      <c r="H33" s="64">
        <v>7.16</v>
      </c>
      <c r="I33" s="68" t="s">
        <v>211</v>
      </c>
      <c r="J33" s="64">
        <v>0.18630099999999999</v>
      </c>
      <c r="K33" s="64">
        <v>339</v>
      </c>
      <c r="L33" s="75">
        <f ca="1">IF(SUMPRODUCT(1*(G33:$G$52=G33))&gt;=2,0,SUMPRODUCT($E$2:E33*($G$2:G33=G33)))</f>
        <v>3.1643156569083453E-2</v>
      </c>
      <c r="M33" s="64" t="s">
        <v>86</v>
      </c>
      <c r="N33" s="76">
        <f ca="1">IF(SUMPRODUCT(1*(M33:$M$52=M33))&gt;=2,0,SUMPRODUCT($E$2:E33*($M$2:M33=M33)))</f>
        <v>0</v>
      </c>
      <c r="O33" s="64">
        <v>3.2791908204966194E-3</v>
      </c>
      <c r="P33" s="64" t="s">
        <v>87</v>
      </c>
      <c r="Q33" s="64" t="s">
        <v>88</v>
      </c>
      <c r="R33" s="64" t="s">
        <v>95</v>
      </c>
      <c r="S33" s="64" t="s">
        <v>100</v>
      </c>
      <c r="T33" s="64" t="s">
        <v>105</v>
      </c>
      <c r="U33" s="64">
        <v>3.2807000000000001E-3</v>
      </c>
      <c r="V33" s="64">
        <v>0.45</v>
      </c>
      <c r="W33" s="64">
        <v>2</v>
      </c>
    </row>
    <row r="34" spans="1:23" x14ac:dyDescent="0.35">
      <c r="A34" s="65">
        <v>43584</v>
      </c>
      <c r="B34" s="64" t="s">
        <v>212</v>
      </c>
      <c r="C34" s="64" t="s">
        <v>213</v>
      </c>
      <c r="D34" s="64" t="s">
        <v>214</v>
      </c>
      <c r="E34" s="66">
        <v>2.9329078485651552E-2</v>
      </c>
      <c r="F34" s="67">
        <v>25153845.149999999</v>
      </c>
      <c r="G34" s="64" t="s">
        <v>94</v>
      </c>
      <c r="H34" s="64">
        <v>8.1</v>
      </c>
      <c r="I34" s="68" t="s">
        <v>215</v>
      </c>
      <c r="J34" s="64">
        <v>0.88678500000000005</v>
      </c>
      <c r="K34" s="64">
        <v>340</v>
      </c>
      <c r="L34" s="75">
        <f ca="1">IF(SUMPRODUCT(1*(G34:$G$52=G34))&gt;=2,0,SUMPRODUCT($E$2:E34*($G$2:G34=G34)))</f>
        <v>0</v>
      </c>
      <c r="M34" s="64" t="s">
        <v>86</v>
      </c>
      <c r="N34" s="76">
        <f ca="1">IF(SUMPRODUCT(1*(M34:$M$52=M34))&gt;=2,0,SUMPRODUCT($E$2:E34*($M$2:M34=M34)))</f>
        <v>0</v>
      </c>
      <c r="O34" s="64">
        <v>2.6008586864898514E-2</v>
      </c>
      <c r="P34" s="64" t="s">
        <v>87</v>
      </c>
      <c r="Q34" s="64" t="s">
        <v>88</v>
      </c>
      <c r="R34" s="64" t="s">
        <v>95</v>
      </c>
      <c r="S34" s="64" t="s">
        <v>80</v>
      </c>
      <c r="T34" s="64" t="s">
        <v>81</v>
      </c>
      <c r="U34" s="64">
        <v>3.2807000000000001E-3</v>
      </c>
      <c r="V34" s="64">
        <v>0.45</v>
      </c>
      <c r="W34" s="64">
        <v>2</v>
      </c>
    </row>
    <row r="35" spans="1:23" x14ac:dyDescent="0.35">
      <c r="A35" s="65">
        <v>43584</v>
      </c>
      <c r="B35" s="64" t="s">
        <v>216</v>
      </c>
      <c r="C35" s="64" t="s">
        <v>217</v>
      </c>
      <c r="D35" s="64" t="s">
        <v>210</v>
      </c>
      <c r="E35" s="66">
        <v>1.7509235106465588E-2</v>
      </c>
      <c r="F35" s="67">
        <v>15016652.800000001</v>
      </c>
      <c r="G35" s="64" t="s">
        <v>218</v>
      </c>
      <c r="H35" s="64">
        <v>7.16</v>
      </c>
      <c r="I35" s="68" t="s">
        <v>219</v>
      </c>
      <c r="J35" s="64">
        <v>0.24931500000000001</v>
      </c>
      <c r="K35" s="64">
        <v>362</v>
      </c>
      <c r="L35" s="75">
        <f ca="1">IF(SUMPRODUCT(1*(G35:$G$52=G35))&gt;=2,0,SUMPRODUCT($E$2:E35*($G$2:G35=G35)))</f>
        <v>1.7509235106465588E-2</v>
      </c>
      <c r="M35" s="64" t="s">
        <v>220</v>
      </c>
      <c r="N35" s="76">
        <f ca="1">IF(SUMPRODUCT(1*(M35:$M$52=M35))&gt;=2,0,SUMPRODUCT($E$2:E35*($M$2:M35=M35)))</f>
        <v>0</v>
      </c>
      <c r="O35" s="64">
        <v>4.365314950568468E-3</v>
      </c>
      <c r="P35" s="64" t="s">
        <v>77</v>
      </c>
      <c r="Q35" s="64" t="s">
        <v>88</v>
      </c>
      <c r="R35" s="64" t="s">
        <v>89</v>
      </c>
      <c r="S35" s="64" t="s">
        <v>221</v>
      </c>
      <c r="T35" s="64" t="s">
        <v>91</v>
      </c>
      <c r="U35" s="64">
        <v>5.9999999999999995E-4</v>
      </c>
      <c r="V35" s="64">
        <v>0.45</v>
      </c>
      <c r="W35" s="64">
        <v>6</v>
      </c>
    </row>
    <row r="36" spans="1:23" x14ac:dyDescent="0.35">
      <c r="A36" s="65">
        <v>43584</v>
      </c>
      <c r="B36" s="64" t="s">
        <v>222</v>
      </c>
      <c r="C36" s="64" t="s">
        <v>223</v>
      </c>
      <c r="D36" s="64"/>
      <c r="E36" s="66">
        <v>8.1652744846514042E-3</v>
      </c>
      <c r="F36" s="67">
        <v>7002881.1200000001</v>
      </c>
      <c r="G36" s="64" t="s">
        <v>224</v>
      </c>
      <c r="H36" s="64">
        <v>8.1</v>
      </c>
      <c r="I36" s="68">
        <v>43950</v>
      </c>
      <c r="J36" s="64">
        <v>0.25</v>
      </c>
      <c r="K36" s="64">
        <v>366</v>
      </c>
      <c r="L36" s="75">
        <f ca="1">IF(SUMPRODUCT(1*(G36:$G$52=G36))&gt;=2,0,SUMPRODUCT($E$2:E36*($G$2:G36=G36)))</f>
        <v>8.1652744846514042E-3</v>
      </c>
      <c r="M36" s="64" t="s">
        <v>77</v>
      </c>
      <c r="N36" s="76">
        <f ca="1">IF(SUMPRODUCT(1*(M36:$M$52=M36))&gt;=2,0,SUMPRODUCT($E$2:E36*($M$2:M36=M36)))</f>
        <v>3.3045041060964064E-2</v>
      </c>
      <c r="O36" s="64">
        <v>2.0413186211628511E-3</v>
      </c>
      <c r="P36" s="64" t="s">
        <v>77</v>
      </c>
      <c r="Q36" s="64" t="s">
        <v>78</v>
      </c>
      <c r="R36" s="64" t="s">
        <v>95</v>
      </c>
      <c r="S36" s="64" t="s">
        <v>80</v>
      </c>
      <c r="T36" s="64" t="s">
        <v>194</v>
      </c>
      <c r="U36" s="64">
        <v>3.2807000000000001E-3</v>
      </c>
      <c r="V36" s="64">
        <v>0.18</v>
      </c>
      <c r="W36" s="64">
        <v>3</v>
      </c>
    </row>
    <row r="37" spans="1:23" x14ac:dyDescent="0.35">
      <c r="A37" s="65">
        <v>43584</v>
      </c>
      <c r="B37" s="64" t="s">
        <v>225</v>
      </c>
      <c r="C37" s="64" t="s">
        <v>226</v>
      </c>
      <c r="D37" s="64" t="s">
        <v>108</v>
      </c>
      <c r="E37" s="66">
        <v>5.925988506982686E-3</v>
      </c>
      <c r="F37" s="67">
        <v>5082375.75</v>
      </c>
      <c r="G37" s="64" t="s">
        <v>136</v>
      </c>
      <c r="H37" s="64">
        <v>7.15</v>
      </c>
      <c r="I37" s="68" t="s">
        <v>227</v>
      </c>
      <c r="J37" s="64">
        <v>0.164383</v>
      </c>
      <c r="K37" s="64">
        <v>422</v>
      </c>
      <c r="L37" s="75">
        <f ca="1">IF(SUMPRODUCT(1*(G37:$G$52=G37))&gt;=2,0,SUMPRODUCT($E$2:E37*($G$2:G37=G37)))</f>
        <v>1.1811402303234974E-2</v>
      </c>
      <c r="M37" s="64" t="s">
        <v>126</v>
      </c>
      <c r="N37" s="76">
        <f ca="1">IF(SUMPRODUCT(1*(M37:$M$52=M37))&gt;=2,0,SUMPRODUCT($E$2:E37*($M$2:M37=M37)))</f>
        <v>0</v>
      </c>
      <c r="O37" s="64">
        <v>9.7413176874333487E-4</v>
      </c>
      <c r="P37" s="64" t="s">
        <v>77</v>
      </c>
      <c r="Q37" s="64" t="s">
        <v>88</v>
      </c>
      <c r="R37" s="64" t="s">
        <v>89</v>
      </c>
      <c r="S37" s="64" t="s">
        <v>100</v>
      </c>
      <c r="T37" s="64" t="s">
        <v>91</v>
      </c>
      <c r="U37" s="64">
        <v>2.506E-3</v>
      </c>
      <c r="V37" s="64">
        <v>0.45</v>
      </c>
      <c r="W37" s="64">
        <v>6</v>
      </c>
    </row>
    <row r="38" spans="1:23" x14ac:dyDescent="0.35">
      <c r="A38" s="65">
        <v>43584</v>
      </c>
      <c r="B38" s="64" t="s">
        <v>228</v>
      </c>
      <c r="C38" s="64" t="s">
        <v>229</v>
      </c>
      <c r="D38" s="64" t="s">
        <v>108</v>
      </c>
      <c r="E38" s="66">
        <v>1.1786791587253416E-2</v>
      </c>
      <c r="F38" s="67">
        <v>10108845.75</v>
      </c>
      <c r="G38" s="64" t="s">
        <v>230</v>
      </c>
      <c r="H38" s="64">
        <v>7.16</v>
      </c>
      <c r="I38" s="68" t="s">
        <v>231</v>
      </c>
      <c r="J38" s="64">
        <v>0.202739</v>
      </c>
      <c r="K38" s="64">
        <v>436</v>
      </c>
      <c r="L38" s="75">
        <f ca="1">IF(SUMPRODUCT(1*(G38:$G$52=G38))&gt;=2,0,SUMPRODUCT($E$2:E38*($G$2:G38=G38)))</f>
        <v>1.1786791587253416E-2</v>
      </c>
      <c r="M38" s="64" t="s">
        <v>126</v>
      </c>
      <c r="N38" s="76">
        <f ca="1">IF(SUMPRODUCT(1*(M38:$M$52=M38))&gt;=2,0,SUMPRODUCT($E$2:E38*($M$2:M38=M38)))</f>
        <v>0</v>
      </c>
      <c r="O38" s="64">
        <v>2.3896423396081701E-3</v>
      </c>
      <c r="P38" s="64" t="s">
        <v>77</v>
      </c>
      <c r="Q38" s="64" t="s">
        <v>232</v>
      </c>
      <c r="R38" s="64" t="s">
        <v>79</v>
      </c>
      <c r="S38" s="64" t="s">
        <v>80</v>
      </c>
      <c r="T38" s="64" t="s">
        <v>194</v>
      </c>
      <c r="U38" s="64">
        <v>7.4332000000000001E-3</v>
      </c>
      <c r="V38" s="64">
        <v>0.45</v>
      </c>
      <c r="W38" s="64">
        <v>6</v>
      </c>
    </row>
    <row r="39" spans="1:23" x14ac:dyDescent="0.35">
      <c r="A39" s="65">
        <v>43584</v>
      </c>
      <c r="B39" s="64" t="s">
        <v>233</v>
      </c>
      <c r="C39" s="64" t="s">
        <v>234</v>
      </c>
      <c r="D39" s="64" t="s">
        <v>108</v>
      </c>
      <c r="E39" s="66">
        <v>1.1769967303329732E-2</v>
      </c>
      <c r="F39" s="67">
        <v>10094416.539999999</v>
      </c>
      <c r="G39" s="64" t="s">
        <v>235</v>
      </c>
      <c r="H39" s="64">
        <v>7.16</v>
      </c>
      <c r="I39" s="68" t="s">
        <v>236</v>
      </c>
      <c r="J39" s="64">
        <v>0.21095800000000001</v>
      </c>
      <c r="K39" s="64">
        <v>531</v>
      </c>
      <c r="L39" s="75">
        <f ca="1">IF(SUMPRODUCT(1*(G39:$G$52=G39))&gt;=2,0,SUMPRODUCT($E$2:E39*($G$2:G39=G39)))</f>
        <v>1.1769967303329732E-2</v>
      </c>
      <c r="M39" s="64" t="s">
        <v>237</v>
      </c>
      <c r="N39" s="76">
        <f ca="1">IF(SUMPRODUCT(1*(M39:$M$52=M39))&gt;=2,0,SUMPRODUCT($E$2:E39*($M$2:M39=M39)))</f>
        <v>1.1769967303329732E-2</v>
      </c>
      <c r="O39" s="64">
        <v>2.4829687623758338E-3</v>
      </c>
      <c r="P39" s="64" t="s">
        <v>77</v>
      </c>
      <c r="Q39" s="64" t="s">
        <v>88</v>
      </c>
      <c r="R39" s="64" t="s">
        <v>90</v>
      </c>
      <c r="S39" s="64" t="s">
        <v>133</v>
      </c>
      <c r="T39" s="64" t="s">
        <v>91</v>
      </c>
      <c r="U39" s="64">
        <v>4.7660999999999997E-3</v>
      </c>
      <c r="V39" s="64">
        <v>0.45</v>
      </c>
      <c r="W39" s="64">
        <v>6</v>
      </c>
    </row>
    <row r="40" spans="1:23" x14ac:dyDescent="0.35">
      <c r="A40" s="65">
        <v>43584</v>
      </c>
      <c r="B40" s="64" t="s">
        <v>238</v>
      </c>
      <c r="C40" s="64" t="s">
        <v>239</v>
      </c>
      <c r="D40" s="64" t="s">
        <v>108</v>
      </c>
      <c r="E40" s="66">
        <v>1.3127804247889965E-2</v>
      </c>
      <c r="F40" s="67">
        <v>11258954.33</v>
      </c>
      <c r="G40" s="64" t="s">
        <v>240</v>
      </c>
      <c r="H40" s="64">
        <v>7.15</v>
      </c>
      <c r="I40" s="68" t="s">
        <v>241</v>
      </c>
      <c r="J40" s="64">
        <v>5.4794000000000002E-2</v>
      </c>
      <c r="K40" s="64">
        <v>658</v>
      </c>
      <c r="L40" s="75">
        <f ca="1">IF(SUMPRODUCT(1*(G40:$G$52=G40))&gt;=2,0,SUMPRODUCT($E$2:E40*($G$2:G40=G40)))</f>
        <v>1.3127804247889965E-2</v>
      </c>
      <c r="M40" s="64" t="s">
        <v>242</v>
      </c>
      <c r="N40" s="76">
        <f ca="1">IF(SUMPRODUCT(1*(M40:$M$52=M40))&gt;=2,0,SUMPRODUCT($E$2:E40*($M$2:M40=M40)))</f>
        <v>1.3127804247889965E-2</v>
      </c>
      <c r="O40" s="64">
        <v>7.1932490595888281E-4</v>
      </c>
      <c r="P40" s="64" t="s">
        <v>77</v>
      </c>
      <c r="Q40" s="64" t="s">
        <v>88</v>
      </c>
      <c r="R40" s="64" t="s">
        <v>95</v>
      </c>
      <c r="S40" s="64" t="s">
        <v>100</v>
      </c>
      <c r="T40" s="64" t="s">
        <v>194</v>
      </c>
      <c r="U40" s="64">
        <v>3.2807000000000001E-3</v>
      </c>
      <c r="V40" s="64">
        <v>0.45</v>
      </c>
      <c r="W40" s="64">
        <v>6</v>
      </c>
    </row>
    <row r="41" spans="1:23" x14ac:dyDescent="0.35">
      <c r="A41" s="65">
        <v>43584</v>
      </c>
      <c r="B41" s="64" t="s">
        <v>243</v>
      </c>
      <c r="C41" s="64" t="s">
        <v>244</v>
      </c>
      <c r="D41" s="64" t="s">
        <v>108</v>
      </c>
      <c r="E41" s="66">
        <v>1.8104444131793664E-2</v>
      </c>
      <c r="F41" s="67">
        <v>15527128.970000001</v>
      </c>
      <c r="G41" s="64" t="s">
        <v>103</v>
      </c>
      <c r="H41" s="64">
        <v>7.15</v>
      </c>
      <c r="I41" s="68" t="s">
        <v>245</v>
      </c>
      <c r="J41" s="64">
        <v>1.9178000000000001E-2</v>
      </c>
      <c r="K41" s="64">
        <v>826</v>
      </c>
      <c r="L41" s="75">
        <f ca="1">IF(SUMPRODUCT(1*(G41:$G$52=G41))&gt;=2,0,SUMPRODUCT($E$2:E41*($G$2:G41=G41)))</f>
        <v>0</v>
      </c>
      <c r="M41" s="64" t="s">
        <v>86</v>
      </c>
      <c r="N41" s="76">
        <f ca="1">IF(SUMPRODUCT(1*(M41:$M$52=M41))&gt;=2,0,SUMPRODUCT($E$2:E41*($M$2:M41=M41)))</f>
        <v>0</v>
      </c>
      <c r="O41" s="64">
        <v>3.4720702955953888E-4</v>
      </c>
      <c r="P41" s="64" t="s">
        <v>87</v>
      </c>
      <c r="Q41" s="64" t="s">
        <v>88</v>
      </c>
      <c r="R41" s="64" t="s">
        <v>95</v>
      </c>
      <c r="S41" s="64" t="s">
        <v>100</v>
      </c>
      <c r="T41" s="64" t="s">
        <v>105</v>
      </c>
      <c r="U41" s="64">
        <v>3.2807000000000001E-3</v>
      </c>
      <c r="V41" s="64">
        <v>0.45</v>
      </c>
      <c r="W41" s="64">
        <v>2</v>
      </c>
    </row>
    <row r="42" spans="1:23" x14ac:dyDescent="0.35">
      <c r="A42" s="65">
        <v>43584</v>
      </c>
      <c r="B42" s="64" t="s">
        <v>246</v>
      </c>
      <c r="C42" s="64" t="s">
        <v>247</v>
      </c>
      <c r="D42" s="64" t="s">
        <v>108</v>
      </c>
      <c r="E42" s="66">
        <v>5.8748546450247208E-3</v>
      </c>
      <c r="F42" s="67">
        <v>5038521.21</v>
      </c>
      <c r="G42" s="64" t="s">
        <v>248</v>
      </c>
      <c r="H42" s="64">
        <v>7.16</v>
      </c>
      <c r="I42" s="68" t="s">
        <v>249</v>
      </c>
      <c r="J42" s="64">
        <v>0.18630099999999999</v>
      </c>
      <c r="K42" s="64">
        <v>887</v>
      </c>
      <c r="L42" s="75">
        <f ca="1">IF(SUMPRODUCT(1*(G42:$G$52=G42))&gt;=2,0,SUMPRODUCT($E$2:E42*($G$2:G42=G42)))</f>
        <v>5.8748546450247208E-3</v>
      </c>
      <c r="M42" s="64" t="s">
        <v>220</v>
      </c>
      <c r="N42" s="76">
        <f ca="1">IF(SUMPRODUCT(1*(M42:$M$52=M42))&gt;=2,0,SUMPRODUCT($E$2:E42*($M$2:M42=M42)))</f>
        <v>2.3384089751490308E-2</v>
      </c>
      <c r="O42" s="64">
        <v>1.0944912952227505E-3</v>
      </c>
      <c r="P42" s="64" t="s">
        <v>77</v>
      </c>
      <c r="Q42" s="64" t="s">
        <v>88</v>
      </c>
      <c r="R42" s="64" t="s">
        <v>221</v>
      </c>
      <c r="S42" s="64" t="s">
        <v>80</v>
      </c>
      <c r="T42" s="64" t="s">
        <v>105</v>
      </c>
      <c r="U42" s="64">
        <v>6.0996999999999996E-3</v>
      </c>
      <c r="V42" s="64">
        <v>0.45</v>
      </c>
      <c r="W42" s="64">
        <v>6</v>
      </c>
    </row>
    <row r="43" spans="1:23" x14ac:dyDescent="0.35">
      <c r="A43" s="65">
        <v>43584</v>
      </c>
      <c r="B43" s="64" t="s">
        <v>250</v>
      </c>
      <c r="C43" s="64" t="s">
        <v>251</v>
      </c>
      <c r="D43" s="64" t="s">
        <v>108</v>
      </c>
      <c r="E43" s="66">
        <v>1.7987680205307017E-2</v>
      </c>
      <c r="F43" s="67">
        <v>15426987.34</v>
      </c>
      <c r="G43" s="64" t="s">
        <v>252</v>
      </c>
      <c r="H43" s="64">
        <v>7.15</v>
      </c>
      <c r="I43" s="68" t="s">
        <v>253</v>
      </c>
      <c r="J43" s="64">
        <v>7.1232000000000004E-2</v>
      </c>
      <c r="K43" s="64">
        <v>937</v>
      </c>
      <c r="L43" s="75">
        <f ca="1">IF(SUMPRODUCT(1*(G43:$G$52=G43))&gt;=2,0,SUMPRODUCT($E$2:E43*($G$2:G43=G43)))</f>
        <v>1.7987680205307017E-2</v>
      </c>
      <c r="M43" s="64" t="s">
        <v>192</v>
      </c>
      <c r="N43" s="76">
        <f ca="1">IF(SUMPRODUCT(1*(M43:$M$52=M43))&gt;=2,0,SUMPRODUCT($E$2:E43*($M$2:M43=M43)))</f>
        <v>2.3330426220535452E-2</v>
      </c>
      <c r="O43" s="64">
        <v>1.2812984363844294E-3</v>
      </c>
      <c r="P43" s="64" t="s">
        <v>193</v>
      </c>
      <c r="Q43" s="64" t="s">
        <v>232</v>
      </c>
      <c r="R43" s="64" t="s">
        <v>89</v>
      </c>
      <c r="S43" s="64" t="s">
        <v>100</v>
      </c>
      <c r="T43" s="64" t="s">
        <v>91</v>
      </c>
      <c r="U43" s="64">
        <v>2.506E-3</v>
      </c>
      <c r="V43" s="64">
        <v>0.18</v>
      </c>
      <c r="W43" s="64">
        <v>6</v>
      </c>
    </row>
    <row r="44" spans="1:23" x14ac:dyDescent="0.35">
      <c r="A44" s="65">
        <v>43584</v>
      </c>
      <c r="B44" s="64" t="s">
        <v>254</v>
      </c>
      <c r="C44" s="64" t="s">
        <v>255</v>
      </c>
      <c r="D44" s="64" t="s">
        <v>108</v>
      </c>
      <c r="E44" s="66">
        <v>1.2035752001021313E-2</v>
      </c>
      <c r="F44" s="67">
        <v>10322364.619999999</v>
      </c>
      <c r="G44" s="64" t="s">
        <v>109</v>
      </c>
      <c r="H44" s="64">
        <v>7.15</v>
      </c>
      <c r="I44" s="68" t="s">
        <v>256</v>
      </c>
      <c r="J44" s="64">
        <v>1.3698E-2</v>
      </c>
      <c r="K44" s="64">
        <v>1008</v>
      </c>
      <c r="L44" s="75">
        <f ca="1">IF(SUMPRODUCT(1*(G44:$G$52=G44))&gt;=2,0,SUMPRODUCT($E$2:E44*($G$2:G44=G44)))</f>
        <v>0.12235806042078155</v>
      </c>
      <c r="M44" s="64" t="s">
        <v>86</v>
      </c>
      <c r="N44" s="76">
        <f ca="1">IF(SUMPRODUCT(1*(M44:$M$52=M44))&gt;=2,0,SUMPRODUCT($E$2:E44*($M$2:M44=M44)))</f>
        <v>0</v>
      </c>
      <c r="O44" s="64">
        <v>1.6486573090998996E-4</v>
      </c>
      <c r="P44" s="64" t="s">
        <v>87</v>
      </c>
      <c r="Q44" s="64" t="s">
        <v>88</v>
      </c>
      <c r="R44" s="64" t="s">
        <v>95</v>
      </c>
      <c r="S44" s="64" t="s">
        <v>100</v>
      </c>
      <c r="T44" s="64" t="s">
        <v>91</v>
      </c>
      <c r="U44" s="64">
        <v>3.2807000000000001E-3</v>
      </c>
      <c r="V44" s="64">
        <v>0.45</v>
      </c>
      <c r="W44" s="64">
        <v>2</v>
      </c>
    </row>
    <row r="45" spans="1:23" x14ac:dyDescent="0.35">
      <c r="A45" s="65">
        <v>43584</v>
      </c>
      <c r="B45" s="64" t="s">
        <v>257</v>
      </c>
      <c r="C45" s="64" t="s">
        <v>258</v>
      </c>
      <c r="D45" s="64" t="s">
        <v>108</v>
      </c>
      <c r="E45" s="66">
        <v>1.8322399866883443E-2</v>
      </c>
      <c r="F45" s="67">
        <v>15714056.93</v>
      </c>
      <c r="G45" s="64" t="s">
        <v>259</v>
      </c>
      <c r="H45" s="64">
        <v>7.15</v>
      </c>
      <c r="I45" s="68" t="s">
        <v>260</v>
      </c>
      <c r="J45" s="64">
        <v>0.15890399999999999</v>
      </c>
      <c r="K45" s="64">
        <v>1058</v>
      </c>
      <c r="L45" s="75">
        <f ca="1">IF(SUMPRODUCT(1*(G45:$G$52=G45))&gt;=2,0,SUMPRODUCT($E$2:E45*($G$2:G45=G45)))</f>
        <v>0</v>
      </c>
      <c r="M45" s="64" t="s">
        <v>122</v>
      </c>
      <c r="N45" s="76">
        <f ca="1">IF(SUMPRODUCT(1*(M45:$M$52=M45))&gt;=2,0,SUMPRODUCT($E$2:E45*($M$2:M45=M45)))</f>
        <v>0</v>
      </c>
      <c r="O45" s="64">
        <v>2.9115026284472463E-3</v>
      </c>
      <c r="P45" s="64" t="s">
        <v>122</v>
      </c>
      <c r="Q45" s="64" t="s">
        <v>88</v>
      </c>
      <c r="R45" s="64" t="s">
        <v>95</v>
      </c>
      <c r="S45" s="64" t="s">
        <v>100</v>
      </c>
      <c r="T45" s="64" t="s">
        <v>91</v>
      </c>
      <c r="U45" s="64">
        <v>3.2807000000000001E-3</v>
      </c>
      <c r="V45" s="64">
        <v>0.45</v>
      </c>
      <c r="W45" s="64">
        <v>1</v>
      </c>
    </row>
    <row r="46" spans="1:23" x14ac:dyDescent="0.35">
      <c r="A46" s="65">
        <v>43584</v>
      </c>
      <c r="B46" s="64" t="s">
        <v>261</v>
      </c>
      <c r="C46" s="64" t="s">
        <v>262</v>
      </c>
      <c r="D46" s="64" t="s">
        <v>108</v>
      </c>
      <c r="E46" s="66">
        <v>2.0623624414784429E-2</v>
      </c>
      <c r="F46" s="67">
        <v>17687683.41</v>
      </c>
      <c r="G46" s="64" t="s">
        <v>94</v>
      </c>
      <c r="H46" s="64">
        <v>7.15</v>
      </c>
      <c r="I46" s="68" t="s">
        <v>263</v>
      </c>
      <c r="J46" s="64">
        <v>0.153424</v>
      </c>
      <c r="K46" s="64">
        <v>1240</v>
      </c>
      <c r="L46" s="75">
        <f ca="1">IF(SUMPRODUCT(1*(G46:$G$52=G46))&gt;=2,0,SUMPRODUCT($E$2:E46*($G$2:G46=G46)))</f>
        <v>0.16104662908757333</v>
      </c>
      <c r="M46" s="64" t="s">
        <v>86</v>
      </c>
      <c r="N46" s="76">
        <f ca="1">IF(SUMPRODUCT(1*(M46:$M$52=M46))&gt;=2,0,SUMPRODUCT($E$2:E46*($M$2:M46=M46)))</f>
        <v>0</v>
      </c>
      <c r="O46" s="64">
        <v>3.1641589522138865E-3</v>
      </c>
      <c r="P46" s="64" t="s">
        <v>87</v>
      </c>
      <c r="Q46" s="64" t="s">
        <v>264</v>
      </c>
      <c r="R46" s="64" t="s">
        <v>95</v>
      </c>
      <c r="S46" s="64" t="s">
        <v>100</v>
      </c>
      <c r="T46" s="64" t="s">
        <v>81</v>
      </c>
      <c r="U46" s="64">
        <v>3.2807000000000001E-3</v>
      </c>
      <c r="V46" s="64">
        <v>0.86</v>
      </c>
      <c r="W46" s="64">
        <v>2</v>
      </c>
    </row>
    <row r="47" spans="1:23" x14ac:dyDescent="0.35">
      <c r="A47" s="65">
        <v>43584</v>
      </c>
      <c r="B47" s="64" t="s">
        <v>265</v>
      </c>
      <c r="C47" s="64" t="s">
        <v>266</v>
      </c>
      <c r="D47" s="64" t="s">
        <v>108</v>
      </c>
      <c r="E47" s="66">
        <v>3.5634082428690015E-3</v>
      </c>
      <c r="F47" s="67">
        <v>3056128.04</v>
      </c>
      <c r="G47" s="64" t="s">
        <v>259</v>
      </c>
      <c r="H47" s="64">
        <v>7.15</v>
      </c>
      <c r="I47" s="68" t="s">
        <v>267</v>
      </c>
      <c r="J47" s="64">
        <v>0.16164300000000001</v>
      </c>
      <c r="K47" s="64">
        <v>1424</v>
      </c>
      <c r="L47" s="75">
        <f ca="1">IF(SUMPRODUCT(1*(G47:$G$52=G47))&gt;=2,0,SUMPRODUCT($E$2:E47*($G$2:G47=G47)))</f>
        <v>0</v>
      </c>
      <c r="M47" s="64" t="s">
        <v>122</v>
      </c>
      <c r="N47" s="76">
        <f ca="1">IF(SUMPRODUCT(1*(M47:$M$52=M47))&gt;=2,0,SUMPRODUCT($E$2:E47*($M$2:M47=M47)))</f>
        <v>0</v>
      </c>
      <c r="O47" s="64">
        <v>5.7599999860207408E-4</v>
      </c>
      <c r="P47" s="64" t="s">
        <v>122</v>
      </c>
      <c r="Q47" s="64" t="s">
        <v>88</v>
      </c>
      <c r="R47" s="64" t="s">
        <v>95</v>
      </c>
      <c r="S47" s="64" t="s">
        <v>100</v>
      </c>
      <c r="T47" s="64" t="s">
        <v>91</v>
      </c>
      <c r="U47" s="64">
        <v>3.2807000000000001E-3</v>
      </c>
      <c r="V47" s="64">
        <v>0.45</v>
      </c>
      <c r="W47" s="64">
        <v>1</v>
      </c>
    </row>
    <row r="48" spans="1:23" x14ac:dyDescent="0.35">
      <c r="A48" s="65">
        <v>43584</v>
      </c>
      <c r="B48" s="64" t="s">
        <v>268</v>
      </c>
      <c r="C48" s="64" t="s">
        <v>269</v>
      </c>
      <c r="D48" s="64" t="s">
        <v>108</v>
      </c>
      <c r="E48" s="66">
        <v>1.0669961794857873E-2</v>
      </c>
      <c r="F48" s="67">
        <v>9151005.7799999993</v>
      </c>
      <c r="G48" s="64" t="s">
        <v>259</v>
      </c>
      <c r="H48" s="64">
        <v>7.15</v>
      </c>
      <c r="I48" s="68" t="s">
        <v>270</v>
      </c>
      <c r="J48" s="64">
        <v>0.153424</v>
      </c>
      <c r="K48" s="64">
        <v>1605</v>
      </c>
      <c r="L48" s="75">
        <f ca="1">IF(SUMPRODUCT(1*(G48:$G$52=G48))&gt;=2,0,SUMPRODUCT($E$2:E48*($G$2:G48=G48)))</f>
        <v>0</v>
      </c>
      <c r="M48" s="64" t="s">
        <v>122</v>
      </c>
      <c r="N48" s="76">
        <f ca="1">IF(SUMPRODUCT(1*(M48:$M$52=M48))&gt;=2,0,SUMPRODUCT($E$2:E48*($M$2:M48=M48)))</f>
        <v>0</v>
      </c>
      <c r="O48" s="64">
        <v>1.6370282184142743E-3</v>
      </c>
      <c r="P48" s="64" t="s">
        <v>122</v>
      </c>
      <c r="Q48" s="64" t="s">
        <v>88</v>
      </c>
      <c r="R48" s="64" t="s">
        <v>95</v>
      </c>
      <c r="S48" s="64" t="s">
        <v>100</v>
      </c>
      <c r="T48" s="64" t="s">
        <v>91</v>
      </c>
      <c r="U48" s="64">
        <v>3.2807000000000001E-3</v>
      </c>
      <c r="V48" s="64">
        <v>0.45</v>
      </c>
      <c r="W48" s="64">
        <v>1</v>
      </c>
    </row>
    <row r="49" spans="1:23" x14ac:dyDescent="0.35">
      <c r="A49" s="65">
        <v>43584</v>
      </c>
      <c r="B49" s="64" t="s">
        <v>271</v>
      </c>
      <c r="C49" s="64" t="s">
        <v>272</v>
      </c>
      <c r="D49" s="64" t="s">
        <v>108</v>
      </c>
      <c r="E49" s="66">
        <v>5.9087344049481866E-3</v>
      </c>
      <c r="F49" s="67">
        <v>5067577.91</v>
      </c>
      <c r="G49" s="64" t="s">
        <v>273</v>
      </c>
      <c r="H49" s="64">
        <v>7.15</v>
      </c>
      <c r="I49" s="68" t="s">
        <v>274</v>
      </c>
      <c r="J49" s="64">
        <v>0.112328</v>
      </c>
      <c r="K49" s="64">
        <v>1681</v>
      </c>
      <c r="L49" s="75">
        <f ca="1">IF(SUMPRODUCT(1*(G49:$G$52=G49))&gt;=2,0,SUMPRODUCT($E$2:E49*($G$2:G49=G49)))</f>
        <v>5.9087344049481866E-3</v>
      </c>
      <c r="M49" s="64" t="s">
        <v>126</v>
      </c>
      <c r="N49" s="76">
        <f ca="1">IF(SUMPRODUCT(1*(M49:$M$52=M49))&gt;=2,0,SUMPRODUCT($E$2:E49*($M$2:M49=M49)))</f>
        <v>3.1874788036055077E-2</v>
      </c>
      <c r="O49" s="64">
        <v>6.6371631823901995E-4</v>
      </c>
      <c r="P49" s="64" t="s">
        <v>77</v>
      </c>
      <c r="Q49" s="64" t="s">
        <v>88</v>
      </c>
      <c r="R49" s="64" t="s">
        <v>95</v>
      </c>
      <c r="S49" s="64" t="s">
        <v>100</v>
      </c>
      <c r="T49" s="64" t="s">
        <v>91</v>
      </c>
      <c r="U49" s="64">
        <v>3.2807000000000001E-3</v>
      </c>
      <c r="V49" s="64">
        <v>0.45</v>
      </c>
      <c r="W49" s="64">
        <v>6</v>
      </c>
    </row>
    <row r="50" spans="1:23" x14ac:dyDescent="0.35">
      <c r="A50" s="65">
        <v>43584</v>
      </c>
      <c r="B50" s="64" t="s">
        <v>275</v>
      </c>
      <c r="C50" s="64" t="s">
        <v>276</v>
      </c>
      <c r="D50" s="64" t="s">
        <v>108</v>
      </c>
      <c r="E50" s="66">
        <v>1.2008335300235954E-2</v>
      </c>
      <c r="F50" s="67">
        <v>10298850.91</v>
      </c>
      <c r="G50" s="64" t="s">
        <v>103</v>
      </c>
      <c r="H50" s="64">
        <v>7.15</v>
      </c>
      <c r="I50" s="68" t="s">
        <v>277</v>
      </c>
      <c r="J50" s="64">
        <v>6.8492999999999998E-2</v>
      </c>
      <c r="K50" s="64">
        <v>1758</v>
      </c>
      <c r="L50" s="75">
        <f ca="1">IF(SUMPRODUCT(1*(G50:$G$52=G50))&gt;=2,0,SUMPRODUCT($E$2:E50*($G$2:G50=G50)))</f>
        <v>6.030841664431677E-2</v>
      </c>
      <c r="M50" s="64" t="s">
        <v>86</v>
      </c>
      <c r="N50" s="76">
        <f ca="1">IF(SUMPRODUCT(1*(M50:$M$52=M50))&gt;=2,0,SUMPRODUCT($E$2:E50*($M$2:M50=M50)))</f>
        <v>0.67603973769159553</v>
      </c>
      <c r="O50" s="64">
        <v>8.2248690971906124E-4</v>
      </c>
      <c r="P50" s="64" t="s">
        <v>87</v>
      </c>
      <c r="Q50" s="64" t="s">
        <v>88</v>
      </c>
      <c r="R50" s="64" t="s">
        <v>95</v>
      </c>
      <c r="S50" s="64" t="s">
        <v>100</v>
      </c>
      <c r="T50" s="64" t="s">
        <v>105</v>
      </c>
      <c r="U50" s="64">
        <v>3.2807000000000001E-3</v>
      </c>
      <c r="V50" s="64">
        <v>0.45</v>
      </c>
      <c r="W50" s="64">
        <v>2</v>
      </c>
    </row>
    <row r="51" spans="1:23" x14ac:dyDescent="0.35">
      <c r="A51" s="65">
        <v>43584</v>
      </c>
      <c r="B51" s="64" t="s">
        <v>278</v>
      </c>
      <c r="C51" s="64" t="s">
        <v>279</v>
      </c>
      <c r="D51" s="64" t="s">
        <v>108</v>
      </c>
      <c r="E51" s="66">
        <v>2.6463158698544838E-3</v>
      </c>
      <c r="F51" s="67">
        <v>2269591.2400000002</v>
      </c>
      <c r="G51" s="64" t="s">
        <v>259</v>
      </c>
      <c r="H51" s="64">
        <v>7.15</v>
      </c>
      <c r="I51" s="68" t="s">
        <v>280</v>
      </c>
      <c r="J51" s="64">
        <v>0.16986299999999999</v>
      </c>
      <c r="K51" s="64">
        <v>1793</v>
      </c>
      <c r="L51" s="75">
        <f ca="1">IF(SUMPRODUCT(1*(G51:$G$52=G51))&gt;=2,0,SUMPRODUCT($E$2:E51*($G$2:G51=G51)))</f>
        <v>3.5202085774464799E-2</v>
      </c>
      <c r="M51" s="64" t="s">
        <v>122</v>
      </c>
      <c r="N51" s="76">
        <f ca="1">IF(SUMPRODUCT(1*(M51:$M$52=M51))&gt;=2,0,SUMPRODUCT($E$2:E51*($M$2:M51=M51)))</f>
        <v>0</v>
      </c>
      <c r="O51" s="64">
        <v>4.4951115260109212E-4</v>
      </c>
      <c r="P51" s="64" t="s">
        <v>122</v>
      </c>
      <c r="Q51" s="64" t="s">
        <v>88</v>
      </c>
      <c r="R51" s="64" t="s">
        <v>95</v>
      </c>
      <c r="S51" s="64" t="s">
        <v>100</v>
      </c>
      <c r="T51" s="64" t="s">
        <v>91</v>
      </c>
      <c r="U51" s="64">
        <v>3.2807000000000001E-3</v>
      </c>
      <c r="V51" s="64">
        <v>0.45</v>
      </c>
      <c r="W51" s="64">
        <v>1</v>
      </c>
    </row>
    <row r="52" spans="1:23" x14ac:dyDescent="0.35">
      <c r="A52" s="65">
        <v>43584</v>
      </c>
      <c r="B52" s="64" t="s">
        <v>281</v>
      </c>
      <c r="C52" s="64" t="s">
        <v>282</v>
      </c>
      <c r="D52" s="64" t="s">
        <v>210</v>
      </c>
      <c r="E52" s="66">
        <v>1.1761257035757757E-2</v>
      </c>
      <c r="F52" s="67">
        <v>10086946.25</v>
      </c>
      <c r="G52" s="64" t="s">
        <v>120</v>
      </c>
      <c r="H52" s="64">
        <v>7.15</v>
      </c>
      <c r="I52" s="68" t="s">
        <v>283</v>
      </c>
      <c r="J52" s="64">
        <v>0.18630099999999999</v>
      </c>
      <c r="K52" s="64">
        <v>1800</v>
      </c>
      <c r="L52" s="75">
        <f ca="1">IF(SUMPRODUCT(1*(G52:$G$52=G52))&gt;=2,0,SUMPRODUCT($E$2:E52*($G$2:G52=G52)))</f>
        <v>1.6496989144643457E-2</v>
      </c>
      <c r="M52" s="64" t="s">
        <v>122</v>
      </c>
      <c r="N52" s="76">
        <f ca="1">IF(SUMPRODUCT(1*(M52:$M$52=M52))&gt;=2,0,SUMPRODUCT($E$2:E52*($M$2:M52=M52)))</f>
        <v>8.7153558031504347E-2</v>
      </c>
      <c r="O52" s="64">
        <v>2.1911339470187057E-3</v>
      </c>
      <c r="P52" s="64" t="s">
        <v>122</v>
      </c>
      <c r="Q52" s="64" t="s">
        <v>88</v>
      </c>
      <c r="R52" s="64" t="s">
        <v>95</v>
      </c>
      <c r="S52" s="64" t="s">
        <v>100</v>
      </c>
      <c r="T52" s="64" t="s">
        <v>91</v>
      </c>
      <c r="U52" s="64">
        <v>3.2807000000000001E-3</v>
      </c>
      <c r="V52" s="64">
        <v>0.45</v>
      </c>
      <c r="W52" s="6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8739-3437-41E8-B937-FD9D91B67ED8}">
  <sheetPr codeName="Sheet22"/>
  <dimension ref="A1:E64"/>
  <sheetViews>
    <sheetView showGridLines="0" view="pageLayout" topLeftCell="A4" zoomScale="80" zoomScaleNormal="70" zoomScalePageLayoutView="80" workbookViewId="0">
      <selection activeCell="C8" sqref="C8"/>
    </sheetView>
  </sheetViews>
  <sheetFormatPr defaultColWidth="61.54296875" defaultRowHeight="14.5" x14ac:dyDescent="0.35"/>
  <cols>
    <col min="1" max="1" width="89.54296875" bestFit="1" customWidth="1"/>
    <col min="2" max="2" width="26.453125" style="2" customWidth="1"/>
    <col min="3" max="3" width="27.453125" style="3" customWidth="1"/>
    <col min="4" max="4" width="15.1796875" bestFit="1" customWidth="1"/>
  </cols>
  <sheetData>
    <row r="1" spans="1:4" ht="26" x14ac:dyDescent="0.6">
      <c r="A1" s="1" t="s">
        <v>50</v>
      </c>
    </row>
    <row r="2" spans="1:4" ht="26.5" thickBot="1" x14ac:dyDescent="0.65">
      <c r="A2" s="1"/>
    </row>
    <row r="3" spans="1:4" s="7" customFormat="1" ht="17" x14ac:dyDescent="0.35">
      <c r="A3" s="4" t="s">
        <v>0</v>
      </c>
      <c r="B3" s="5" t="s">
        <v>1</v>
      </c>
      <c r="C3" s="5" t="s">
        <v>2</v>
      </c>
      <c r="D3" s="6" t="s">
        <v>3</v>
      </c>
    </row>
    <row r="4" spans="1:4" s="7" customFormat="1" ht="34" x14ac:dyDescent="0.35">
      <c r="A4" s="8"/>
      <c r="B4" s="9" t="s">
        <v>4</v>
      </c>
      <c r="C4" s="9" t="s">
        <v>4</v>
      </c>
      <c r="D4" s="10"/>
    </row>
    <row r="5" spans="1:4" s="14" customFormat="1" ht="17" x14ac:dyDescent="0.35">
      <c r="A5" s="11" t="s">
        <v>5</v>
      </c>
      <c r="B5" s="12">
        <v>1</v>
      </c>
      <c r="C5" s="69">
        <f ca="1">SUMIFS(InputData[%Market Value],InputData[Classification],LEFT(A5,1))</f>
        <v>0.12062075008676727</v>
      </c>
      <c r="D5" s="13" t="str">
        <f ca="1">IF(C5&lt;=B5,"Yes","No")</f>
        <v>Yes</v>
      </c>
    </row>
    <row r="6" spans="1:4" s="14" customFormat="1" ht="17" x14ac:dyDescent="0.35">
      <c r="A6" s="11" t="s">
        <v>6</v>
      </c>
      <c r="B6" s="12">
        <v>1</v>
      </c>
      <c r="C6" s="69">
        <f ca="1">SUMIFS(InputData[%Market Value],InputData[Classification],LEFT(A6,1))</f>
        <v>0.67603973769159553</v>
      </c>
      <c r="D6" s="13" t="str">
        <f t="shared" ref="D6:D12" ca="1" si="0">IF(C6&lt;=B6,"Yes","No")</f>
        <v>Yes</v>
      </c>
    </row>
    <row r="7" spans="1:4" s="14" customFormat="1" ht="17" x14ac:dyDescent="0.35">
      <c r="A7" s="11" t="s">
        <v>7</v>
      </c>
      <c r="B7" s="12">
        <v>0.15</v>
      </c>
      <c r="C7" s="69">
        <f ca="1">SUMIFS(InputData[%Market Value],InputData[Classification],LEFT(A7,1))</f>
        <v>8.1652744846514042E-3</v>
      </c>
      <c r="D7" s="13" t="str">
        <f t="shared" ca="1" si="0"/>
        <v>Yes</v>
      </c>
    </row>
    <row r="8" spans="1:4" s="14" customFormat="1" ht="17" x14ac:dyDescent="0.35">
      <c r="A8" s="11" t="s">
        <v>8</v>
      </c>
      <c r="B8" s="12">
        <v>0.15</v>
      </c>
      <c r="C8" s="69">
        <f ca="1">SUMIFS(InputData[%Market Value],InputData[Classification],LEFT(A8,1))</f>
        <v>2.4879766576312662E-2</v>
      </c>
      <c r="D8" s="13" t="str">
        <f t="shared" ca="1" si="0"/>
        <v>Yes</v>
      </c>
    </row>
    <row r="9" spans="1:4" s="14" customFormat="1" ht="17" x14ac:dyDescent="0.35">
      <c r="A9" s="11" t="s">
        <v>9</v>
      </c>
      <c r="B9" s="12">
        <v>1</v>
      </c>
      <c r="C9" s="69">
        <f ca="1">SUMIFS(InputData[%Market Value],InputData[Classification],LEFT(A9,1))</f>
        <v>2.8947006400718345E-2</v>
      </c>
      <c r="D9" s="13" t="str">
        <f t="shared" ca="1" si="0"/>
        <v>Yes</v>
      </c>
    </row>
    <row r="10" spans="1:4" s="14" customFormat="1" ht="17" x14ac:dyDescent="0.35">
      <c r="A10" s="11" t="s">
        <v>10</v>
      </c>
      <c r="B10" s="12">
        <v>1</v>
      </c>
      <c r="C10" s="69">
        <f ca="1">SUMIFS(InputData[%Market Value],InputData[Classification],LEFT(A10,1))</f>
        <v>0.14134746475995505</v>
      </c>
      <c r="D10" s="13" t="str">
        <f t="shared" ca="1" si="0"/>
        <v>Yes</v>
      </c>
    </row>
    <row r="11" spans="1:4" s="14" customFormat="1" ht="17" x14ac:dyDescent="0.35">
      <c r="A11" s="11" t="s">
        <v>11</v>
      </c>
      <c r="B11" s="12">
        <v>0</v>
      </c>
      <c r="C11" s="69">
        <f ca="1">SUMIFS(InputData[%Market Value],InputData[Classification],LEFT(A11,1))</f>
        <v>0</v>
      </c>
      <c r="D11" s="13" t="str">
        <f t="shared" ca="1" si="0"/>
        <v>Yes</v>
      </c>
    </row>
    <row r="12" spans="1:4" s="14" customFormat="1" ht="17" x14ac:dyDescent="0.35">
      <c r="A12" s="11" t="s">
        <v>12</v>
      </c>
      <c r="B12" s="12">
        <v>0.25</v>
      </c>
      <c r="C12" s="69">
        <f ca="1">SUMIFS(InputData[%Market Value],InputData[Classification],LEFT(A12,1))</f>
        <v>0</v>
      </c>
      <c r="D12" s="15" t="str">
        <f t="shared" ca="1" si="0"/>
        <v>Yes</v>
      </c>
    </row>
    <row r="13" spans="1:4" s="14" customFormat="1" ht="2.65" customHeight="1" x14ac:dyDescent="0.4">
      <c r="A13" s="16"/>
      <c r="B13" s="17"/>
      <c r="C13" s="17"/>
      <c r="D13" s="18"/>
    </row>
    <row r="14" spans="1:4" s="7" customFormat="1" ht="17" x14ac:dyDescent="0.35">
      <c r="A14" s="8" t="s">
        <v>13</v>
      </c>
      <c r="B14" s="9" t="s">
        <v>1</v>
      </c>
      <c r="C14" s="9" t="s">
        <v>2</v>
      </c>
      <c r="D14" s="10" t="s">
        <v>3</v>
      </c>
    </row>
    <row r="15" spans="1:4" s="7" customFormat="1" ht="34" x14ac:dyDescent="0.35">
      <c r="A15" s="8"/>
      <c r="B15" s="9" t="s">
        <v>4</v>
      </c>
      <c r="C15" s="9" t="s">
        <v>4</v>
      </c>
      <c r="D15" s="10"/>
    </row>
    <row r="16" spans="1:4" s="14" customFormat="1" ht="17" x14ac:dyDescent="0.35">
      <c r="A16" s="19" t="s">
        <v>14</v>
      </c>
      <c r="B16" s="20"/>
      <c r="C16" s="20"/>
      <c r="D16" s="21"/>
    </row>
    <row r="17" spans="1:5" s="14" customFormat="1" ht="17" x14ac:dyDescent="0.35">
      <c r="A17" s="22" t="s">
        <v>15</v>
      </c>
      <c r="B17" s="23">
        <v>1</v>
      </c>
      <c r="C17" s="71">
        <f ca="1">SUMIFS(InputData[Single Issuer Exposure],InputData[Issuer],"REPUBLIC OF SOUTH AFRICA")</f>
        <v>3.3467192055262933E-2</v>
      </c>
      <c r="D17" s="24" t="str">
        <f t="shared" ref="D17" ca="1" si="1">IF(C17&lt;=B17,"Yes","No")</f>
        <v>Yes</v>
      </c>
    </row>
    <row r="18" spans="1:5" s="14" customFormat="1" ht="2.65" customHeight="1" x14ac:dyDescent="0.35">
      <c r="A18" s="25"/>
      <c r="B18" s="26"/>
      <c r="C18" s="26"/>
      <c r="D18" s="27"/>
    </row>
    <row r="19" spans="1:5" s="14" customFormat="1" ht="17" x14ac:dyDescent="0.35">
      <c r="A19" s="28" t="s">
        <v>16</v>
      </c>
      <c r="B19" s="29"/>
      <c r="C19" s="29"/>
      <c r="D19" s="30"/>
    </row>
    <row r="20" spans="1:5" s="14" customFormat="1" ht="17" x14ac:dyDescent="0.35">
      <c r="A20" s="31" t="s">
        <v>17</v>
      </c>
      <c r="B20" s="32">
        <v>0.15</v>
      </c>
      <c r="C20" s="70">
        <f ca="1">_xlfn.MAXIFS(InputData[Single Issuer Exposure],InputData[Issuer Type],"&lt;&gt;Government",InputData[Guarantee],"Government Guaranteed")</f>
        <v>2.3581373104528337E-2</v>
      </c>
      <c r="D20" s="13" t="str">
        <f t="shared" ref="D20:D24" ca="1" si="2">IF(C20&lt;=B20,"Yes","No")</f>
        <v>Yes</v>
      </c>
      <c r="E20" s="33"/>
    </row>
    <row r="21" spans="1:5" s="38" customFormat="1" ht="17" x14ac:dyDescent="0.35">
      <c r="A21" s="34" t="s">
        <v>18</v>
      </c>
      <c r="B21" s="35">
        <v>0.1</v>
      </c>
      <c r="C21" s="70" cm="1">
        <f t="array" aca="1" ref="C21" ca="1">MAX(_xlfn.MAXIFS(InputData[Single Issuer Exposure],InputData[Issuer Type],"SOE",InputData[Guarantee],"&lt;&gt;Government Guaranteed",InputData[National Rating],{"AAA","AA+","AA","AA-"}),_xlfn.MAXIFS(InputData[Single Issuer Exposure],InputData[Issuer Type],"Banks",InputData[Issuer],"&lt;&gt;ABSA BANK LIMITED",InputData[Issuer],"&lt;&gt;NEDBANK",InputData[Issuer],"&lt;&gt;NEDBANK GROUP",InputData[Issuer],"&lt;&gt;RMB",InputData[Issuer],"&lt;&gt;STANDARD BANK SOUTH AFRICA",InputData[Guarantee],"&lt;&gt;Government Guaranteed",InputData[National Rating],{"AAA","AA+","AA","AA-"}))</f>
        <v>3.5202085774464799E-2</v>
      </c>
      <c r="D21" s="36" t="str">
        <f t="shared" ca="1" si="2"/>
        <v>Yes</v>
      </c>
      <c r="E21" s="37"/>
    </row>
    <row r="22" spans="1:5" s="14" customFormat="1" ht="17" x14ac:dyDescent="0.35">
      <c r="A22" s="31" t="s">
        <v>19</v>
      </c>
      <c r="B22" s="32">
        <v>7.0000000000000007E-2</v>
      </c>
      <c r="C22" s="70" cm="1">
        <f t="array" aca="1" ref="C22" ca="1">MAX(_xlfn.MAXIFS(InputData[Single Issuer Exposure],InputData[Issuer Type],"SOE",InputData[Guarantee],"&lt;&gt;Government Guaranteed",InputData[National Rating],{"A+","A","A-"}),_xlfn.MAXIFS(InputData[Single Issuer Exposure],InputData[Issuer Type],"Banks",InputData[Issuer],"&lt;&gt;ABSA BANK LIMITED",InputData[Issuer],"&lt;&gt;NEDBANK",InputData[Issuer],"&lt;&gt;NEDBANK GROUP",InputData[Issuer],"&lt;&gt;RMB",InputData[Issuer],"&lt;&gt;STANDARD BANK SOUTH AFRICA",InputData[Guarantee],"&lt;&gt;Government Guaranteed",InputData[National Rating],{"A+","A","A-"}))</f>
        <v>0</v>
      </c>
      <c r="D22" s="13" t="str">
        <f t="shared" ca="1" si="2"/>
        <v>Yes</v>
      </c>
    </row>
    <row r="23" spans="1:5" s="14" customFormat="1" ht="17" x14ac:dyDescent="0.35">
      <c r="A23" s="31" t="s">
        <v>20</v>
      </c>
      <c r="B23" s="12">
        <v>0.03</v>
      </c>
      <c r="C23" s="70" cm="1">
        <f t="array" aca="1" ref="C23" ca="1">MAX(_xlfn.MAXIFS(InputData[Single Issuer Exposure],InputData[Issuer Type],"SOE",InputData[Guarantee],"&lt;&gt;Government Guaranteed",InputData[National Rating],{"BBB+","BBB","BBB-"}),_xlfn.MAXIFS(InputData[Single Issuer Exposure],InputData[Issuer Type],"Banks",InputData[Issuer],"&lt;&gt;ABSA BANK LIMITED",InputData[Issuer],"&lt;&gt;NEDBANK",InputData[Issuer],"&lt;&gt;NEDBANK GROUP",InputData[Issuer],"&lt;&gt;RMB",InputData[Issuer],"&lt;&gt;STANDARD BANK SOUTH AFRICA",InputData[Guarantee],"&lt;&gt;Government Guaranteed",InputData[National Rating],{"BBB+","BBB","BBB-"}))</f>
        <v>0</v>
      </c>
      <c r="D23" s="13" t="str">
        <f t="shared" ca="1" si="2"/>
        <v>Yes</v>
      </c>
    </row>
    <row r="24" spans="1:5" s="14" customFormat="1" ht="17" x14ac:dyDescent="0.35">
      <c r="A24" s="31" t="s">
        <v>21</v>
      </c>
      <c r="B24" s="32">
        <v>0</v>
      </c>
      <c r="C24" s="70" cm="1">
        <f t="array" aca="1" ref="C24" ca="1">MAX(_xlfn.MAXIFS(InputData[Single Issuer Exposure],InputData[Issuer Type],"SOE",InputData[Guarantee],"&lt;&gt;Government Guaranteed",InputData[National Rating],{"BB+","BB","BB-"}),_xlfn.MAXIFS(InputData[Single Issuer Exposure],InputData[Issuer Type],"Banks",InputData[Issuer],"&lt;&gt;ABSA BANK LIMITED",InputData[Issuer],"&lt;&gt;NEDBANK",InputData[Issuer],"&lt;&gt;NEDBANK GROUP",InputData[Issuer],"&lt;&gt;RMB",InputData[Issuer],"&lt;&gt;STANDARD BANK SOUTH AFRICA",InputData[Guarantee],"&lt;&gt;Government Guaranteed",InputData[National Rating],{"BB+","BB","BB-"}))</f>
        <v>0</v>
      </c>
      <c r="D24" s="13" t="str">
        <f t="shared" ca="1" si="2"/>
        <v>Yes</v>
      </c>
    </row>
    <row r="25" spans="1:5" s="14" customFormat="1" ht="2.65" customHeight="1" x14ac:dyDescent="0.35">
      <c r="A25" s="31"/>
      <c r="B25" s="12"/>
      <c r="C25" s="12"/>
      <c r="D25" s="13"/>
    </row>
    <row r="26" spans="1:5" s="14" customFormat="1" ht="17" x14ac:dyDescent="0.35">
      <c r="A26" s="39" t="s">
        <v>22</v>
      </c>
      <c r="B26" s="40"/>
      <c r="C26" s="40"/>
      <c r="D26" s="41"/>
    </row>
    <row r="27" spans="1:5" s="14" customFormat="1" ht="17" x14ac:dyDescent="0.35">
      <c r="A27" s="31" t="s">
        <v>17</v>
      </c>
      <c r="B27" s="12">
        <v>0.15</v>
      </c>
      <c r="C27" s="70">
        <f ca="1">_xlfn.MAXIFS(InputData[Single Issuer Exposure],InputData[Issuer Type],"Corporate",InputData[Guarantee],"Government Guaranteed")</f>
        <v>0</v>
      </c>
      <c r="D27" s="13" t="str">
        <f t="shared" ref="D27:D31" ca="1" si="3">IF(C27&lt;=B27,"Yes","No")</f>
        <v>Yes</v>
      </c>
    </row>
    <row r="28" spans="1:5" s="14" customFormat="1" ht="17" x14ac:dyDescent="0.35">
      <c r="A28" s="11" t="s">
        <v>18</v>
      </c>
      <c r="B28" s="32">
        <v>0.08</v>
      </c>
      <c r="C28" s="70" cm="1">
        <f t="array" aca="1" ref="C28" ca="1">MAX(_xlfn.MAXIFS(InputData[Single Issuer Exposure],InputData[Issuer Type],"Corporate",InputData[Guarantee],"&lt;&gt;Government Guaranteed",InputData[National Rating],{"AAA","AA+","AA","AA-"}))</f>
        <v>2.8947006400718345E-2</v>
      </c>
      <c r="D28" s="13" t="str">
        <f t="shared" ca="1" si="3"/>
        <v>Yes</v>
      </c>
    </row>
    <row r="29" spans="1:5" s="14" customFormat="1" ht="17" x14ac:dyDescent="0.35">
      <c r="A29" s="11" t="s">
        <v>19</v>
      </c>
      <c r="B29" s="32">
        <v>0.05</v>
      </c>
      <c r="C29" s="70" cm="1">
        <f t="array" aca="1" ref="C29" ca="1">MAX(_xlfn.MAXIFS(InputData[Single Issuer Exposure],InputData[Issuer Type],"Corporate",InputData[Guarantee],"&lt;&gt;Government Guaranteed",InputData[National Rating],{"A+","A","A-"}))</f>
        <v>2.9356595741231364E-2</v>
      </c>
      <c r="D29" s="13" t="str">
        <f t="shared" ca="1" si="3"/>
        <v>Yes</v>
      </c>
    </row>
    <row r="30" spans="1:5" s="14" customFormat="1" ht="17" x14ac:dyDescent="0.35">
      <c r="A30" s="11" t="s">
        <v>23</v>
      </c>
      <c r="B30" s="12">
        <v>0.03</v>
      </c>
      <c r="C30" s="70" cm="1">
        <f t="array" aca="1" ref="C30" ca="1">MAX(_xlfn.MAXIFS(InputData[Single Issuer Exposure],InputData[Issuer Type],"Corporate",InputData[Guarantee],"&lt;&gt;Government Guaranteed",InputData[National Rating],{"BBB+","BBB","BBB-"}))</f>
        <v>0</v>
      </c>
      <c r="D30" s="13" t="str">
        <f t="shared" ca="1" si="3"/>
        <v>Yes</v>
      </c>
    </row>
    <row r="31" spans="1:5" s="14" customFormat="1" ht="17" x14ac:dyDescent="0.35">
      <c r="A31" s="11" t="s">
        <v>24</v>
      </c>
      <c r="B31" s="12">
        <v>0</v>
      </c>
      <c r="C31" s="70" cm="1">
        <f t="array" aca="1" ref="C31" ca="1">MAX(_xlfn.MAXIFS(InputData[Single Issuer Exposure],InputData[Issuer Type],"Corporate",InputData[Guarantee],"&lt;&gt;Government Guaranteed",InputData[National Rating],{"BB+","BB","BB-","B+","B","B-","CCC+","CCC"}))</f>
        <v>0</v>
      </c>
      <c r="D31" s="13" t="str">
        <f t="shared" ca="1" si="3"/>
        <v>Yes</v>
      </c>
    </row>
    <row r="32" spans="1:5" s="14" customFormat="1" ht="2.65" customHeight="1" x14ac:dyDescent="0.35">
      <c r="A32" s="42"/>
      <c r="B32" s="43"/>
      <c r="C32" s="43"/>
      <c r="D32" s="44"/>
    </row>
    <row r="33" spans="1:5" s="14" customFormat="1" ht="17" x14ac:dyDescent="0.35">
      <c r="A33" s="28" t="s">
        <v>25</v>
      </c>
      <c r="B33" s="29"/>
      <c r="C33" s="29"/>
      <c r="D33" s="30"/>
    </row>
    <row r="34" spans="1:5" s="14" customFormat="1" ht="17" x14ac:dyDescent="0.35">
      <c r="A34" s="11" t="s">
        <v>26</v>
      </c>
      <c r="B34" s="12">
        <v>1</v>
      </c>
      <c r="C34" s="70" cm="1">
        <f t="array" aca="1" ref="C34" ca="1">SUM(SUMIFS(InputData[Single Issuer Exposure],InputData[National Rating],{"AAA","AA+","AA","AA-"}))</f>
        <v>0.92810199145017824</v>
      </c>
      <c r="D34" s="13" t="str">
        <f t="shared" ref="D34:D36" ca="1" si="4">IF(C34&lt;=B34,"Yes","No")</f>
        <v>Yes</v>
      </c>
    </row>
    <row r="35" spans="1:5" s="14" customFormat="1" ht="17" x14ac:dyDescent="0.35">
      <c r="A35" s="11" t="s">
        <v>27</v>
      </c>
      <c r="B35" s="12">
        <v>0.5</v>
      </c>
      <c r="C35" s="70" cm="1">
        <f t="array" aca="1" ref="C35" ca="1">SUM(SUMIFS(InputData[Single Issuer Exposure],InputData[National Rating],{"A+","A","A-"}))</f>
        <v>7.1898008549822173E-2</v>
      </c>
      <c r="D35" s="13" t="str">
        <f t="shared" ca="1" si="4"/>
        <v>Yes</v>
      </c>
    </row>
    <row r="36" spans="1:5" s="14" customFormat="1" ht="17" x14ac:dyDescent="0.35">
      <c r="A36" s="11" t="s">
        <v>28</v>
      </c>
      <c r="B36" s="12">
        <v>0.1</v>
      </c>
      <c r="C36" s="70" cm="1">
        <f t="array" aca="1" ref="C36" ca="1">SUM(SUMIFS(InputData[Single Issuer Exposure],InputData[National Rating],{"BBB+","BBB","BBB-"}))</f>
        <v>0</v>
      </c>
      <c r="D36" s="13" t="str">
        <f t="shared" ca="1" si="4"/>
        <v>Yes</v>
      </c>
    </row>
    <row r="37" spans="1:5" s="14" customFormat="1" ht="2.65" customHeight="1" x14ac:dyDescent="0.4">
      <c r="A37" s="16"/>
      <c r="B37" s="17"/>
      <c r="C37" s="17"/>
      <c r="D37" s="18"/>
    </row>
    <row r="38" spans="1:5" s="14" customFormat="1" ht="17" x14ac:dyDescent="0.35">
      <c r="A38" s="8" t="s">
        <v>29</v>
      </c>
      <c r="B38" s="9" t="s">
        <v>1</v>
      </c>
      <c r="C38" s="9" t="s">
        <v>2</v>
      </c>
      <c r="D38" s="10" t="s">
        <v>3</v>
      </c>
    </row>
    <row r="39" spans="1:5" s="14" customFormat="1" ht="34" x14ac:dyDescent="0.35">
      <c r="A39" s="8"/>
      <c r="B39" s="9" t="s">
        <v>4</v>
      </c>
      <c r="C39" s="9" t="s">
        <v>4</v>
      </c>
      <c r="D39" s="10"/>
    </row>
    <row r="40" spans="1:5" s="14" customFormat="1" ht="17" x14ac:dyDescent="0.35">
      <c r="A40" s="11" t="s">
        <v>30</v>
      </c>
      <c r="B40" s="12">
        <v>0.75</v>
      </c>
      <c r="C40" s="70" cm="1">
        <f t="array" aca="1" ref="C40" ca="1">SUM(SUMIFS(InputData[%Market Value],InputData[Issuer],{"ABSA BANK LIMITED","NEDBANK","NEDBANK GROUP","STANDARD BANK SOUTH AFRICA","RMB"}))</f>
        <v>0.51606170771601301</v>
      </c>
      <c r="D40" s="13" t="str">
        <f t="shared" ref="D40:D44" ca="1" si="5">IF(C40&lt;=B40,"Yes","No")</f>
        <v>Yes</v>
      </c>
    </row>
    <row r="41" spans="1:5" s="14" customFormat="1" ht="17" x14ac:dyDescent="0.35">
      <c r="A41" s="11" t="s">
        <v>31</v>
      </c>
      <c r="B41" s="12">
        <v>0.15</v>
      </c>
      <c r="C41" s="70" cm="1">
        <f t="array" aca="1" ref="C41" ca="1">SUM(SUMIFS(InputData[%Market Value],InputData[Issuer],{"INVESTEC BANK LTD","CAPITEC"}))</f>
        <v>3.1643156569083453E-2</v>
      </c>
      <c r="D41" s="13" t="str">
        <f t="shared" ca="1" si="5"/>
        <v>Yes</v>
      </c>
    </row>
    <row r="42" spans="1:5" s="14" customFormat="1" ht="17" x14ac:dyDescent="0.35">
      <c r="A42" s="11" t="s">
        <v>32</v>
      </c>
      <c r="B42" s="12">
        <v>0.15</v>
      </c>
      <c r="C42" s="70" cm="1">
        <f t="array" aca="1" ref="C42" ca="1">SUM(SUMIFS(InputData[%Market Value],InputData[Issuer],{"BNP PARIBAS","HSBC"}))</f>
        <v>0.12833487340649913</v>
      </c>
      <c r="D42" s="13" t="str">
        <f t="shared" ca="1" si="5"/>
        <v>Yes</v>
      </c>
    </row>
    <row r="43" spans="1:5" s="14" customFormat="1" ht="17" x14ac:dyDescent="0.35">
      <c r="A43" s="11" t="s">
        <v>33</v>
      </c>
      <c r="B43" s="32">
        <v>0.15</v>
      </c>
      <c r="C43" s="70">
        <f ca="1">SUMIFS(InputData[%Market Value],InputData[Industry],"Real Estate")</f>
        <v>3.1874788036055077E-2</v>
      </c>
      <c r="D43" s="13" t="str">
        <f t="shared" ca="1" si="5"/>
        <v>Yes</v>
      </c>
      <c r="E43" s="45"/>
    </row>
    <row r="44" spans="1:5" s="14" customFormat="1" ht="17" x14ac:dyDescent="0.35">
      <c r="A44" s="11" t="s">
        <v>34</v>
      </c>
      <c r="B44" s="12">
        <v>0.15</v>
      </c>
      <c r="C44" s="70">
        <f ca="1">_xlfn.MAXIFS(InputData[Single Industry Exposure],InputData[Industry],"&lt;&gt;Government",InputData[Industry],"&lt;&gt;SOE",InputData[Industry],"&lt;&gt;Banks",InputData[Industry],"&lt;&gt;Corporate")</f>
        <v>3.1874788036055077E-2</v>
      </c>
      <c r="D44" s="13" t="str">
        <f t="shared" ca="1" si="5"/>
        <v>Yes</v>
      </c>
    </row>
    <row r="45" spans="1:5" s="14" customFormat="1" ht="2.65" customHeight="1" x14ac:dyDescent="0.4">
      <c r="A45" s="16"/>
      <c r="B45" s="17"/>
      <c r="C45" s="17"/>
      <c r="D45" s="18"/>
    </row>
    <row r="46" spans="1:5" s="14" customFormat="1" ht="17" x14ac:dyDescent="0.35">
      <c r="A46" s="8" t="s">
        <v>35</v>
      </c>
      <c r="B46" s="9" t="s">
        <v>1</v>
      </c>
      <c r="C46" s="9" t="s">
        <v>2</v>
      </c>
      <c r="D46" s="10" t="s">
        <v>3</v>
      </c>
    </row>
    <row r="47" spans="1:5" s="14" customFormat="1" ht="34" x14ac:dyDescent="0.35">
      <c r="A47" s="8"/>
      <c r="B47" s="9" t="s">
        <v>4</v>
      </c>
      <c r="C47" s="9" t="s">
        <v>4</v>
      </c>
      <c r="D47" s="10"/>
    </row>
    <row r="48" spans="1:5" s="14" customFormat="1" ht="17" x14ac:dyDescent="0.35">
      <c r="A48" s="11" t="s">
        <v>36</v>
      </c>
      <c r="B48" s="12">
        <v>0.2</v>
      </c>
      <c r="C48" s="69">
        <f ca="1">SUMIFS(InputData[%Market Value],InputData[Issuer],"ABSA BANK LIMITED")</f>
        <v>0.11957047003183781</v>
      </c>
      <c r="D48" s="13" t="str">
        <f t="shared" ref="D48:D52" ca="1" si="6">IF(C48&lt;=B48,"Yes","No")</f>
        <v>Yes</v>
      </c>
    </row>
    <row r="49" spans="1:4" s="14" customFormat="1" ht="17" x14ac:dyDescent="0.35">
      <c r="A49" s="11" t="s">
        <v>37</v>
      </c>
      <c r="B49" s="12">
        <v>0.2</v>
      </c>
      <c r="C49" s="69" cm="1">
        <f t="array" aca="1" ref="C49" ca="1">SUM(SUMIFS(InputData[%Market Value],InputData[Issuer],{"NEDBANK","NEDBANK GROUP"}))</f>
        <v>0.11308654817582028</v>
      </c>
      <c r="D49" s="13" t="str">
        <f t="shared" ca="1" si="6"/>
        <v>Yes</v>
      </c>
    </row>
    <row r="50" spans="1:4" s="14" customFormat="1" ht="17" x14ac:dyDescent="0.35">
      <c r="A50" s="11" t="s">
        <v>38</v>
      </c>
      <c r="B50" s="12">
        <v>0.2</v>
      </c>
      <c r="C50" s="69">
        <f ca="1">SUMIFS(InputData[%Market Value],InputData[Issuer],"STANDARD BANK SOUTH AFRICA")</f>
        <v>0.12235806042078155</v>
      </c>
      <c r="D50" s="13" t="str">
        <f t="shared" ca="1" si="6"/>
        <v>Yes</v>
      </c>
    </row>
    <row r="51" spans="1:4" s="14" customFormat="1" ht="17" x14ac:dyDescent="0.35">
      <c r="A51" s="11" t="s">
        <v>39</v>
      </c>
      <c r="B51" s="32">
        <v>0.15</v>
      </c>
      <c r="C51" s="69">
        <f ca="1">SUMIFS(InputData[%Market Value],InputData[Issuer],"RMB")</f>
        <v>0.16104662908757333</v>
      </c>
      <c r="D51" s="13" t="str">
        <f t="shared" ca="1" si="6"/>
        <v>No</v>
      </c>
    </row>
    <row r="52" spans="1:4" s="14" customFormat="1" ht="17" x14ac:dyDescent="0.35">
      <c r="A52" s="11" t="s">
        <v>40</v>
      </c>
      <c r="B52" s="12">
        <v>0</v>
      </c>
      <c r="C52" s="69">
        <f ca="1">SUMIFS(InputData[%Market Value],InputData[Guarantee],"Subordinated",InputData[Issuer],"&lt;&gt;RMB")</f>
        <v>0</v>
      </c>
      <c r="D52" s="13" t="str">
        <f t="shared" ca="1" si="6"/>
        <v>Yes</v>
      </c>
    </row>
    <row r="53" spans="1:4" s="14" customFormat="1" ht="2.65" customHeight="1" x14ac:dyDescent="0.4">
      <c r="A53" s="16"/>
      <c r="B53" s="17"/>
      <c r="C53" s="46"/>
      <c r="D53" s="47"/>
    </row>
    <row r="54" spans="1:4" s="14" customFormat="1" ht="17" x14ac:dyDescent="0.35">
      <c r="A54" s="8" t="s">
        <v>41</v>
      </c>
      <c r="B54" s="9" t="s">
        <v>1</v>
      </c>
      <c r="C54" s="9" t="s">
        <v>2</v>
      </c>
      <c r="D54" s="10" t="s">
        <v>3</v>
      </c>
    </row>
    <row r="55" spans="1:4" s="14" customFormat="1" ht="17" x14ac:dyDescent="0.35">
      <c r="A55" s="8"/>
      <c r="B55" s="9"/>
      <c r="C55" s="9" t="s">
        <v>4</v>
      </c>
      <c r="D55" s="10"/>
    </row>
    <row r="56" spans="1:4" s="14" customFormat="1" ht="17" x14ac:dyDescent="0.35">
      <c r="A56" s="11" t="s">
        <v>42</v>
      </c>
      <c r="B56" s="12">
        <v>0.05</v>
      </c>
      <c r="C56" s="69">
        <f ca="1">_xlfn.MAXIFS(InputData[%Market Value],InputData[Classification],"3")</f>
        <v>8.1652744846514042E-3</v>
      </c>
      <c r="D56" s="13" t="str">
        <f t="shared" ref="D56" ca="1" si="7">IF(C56&lt;=B56,"Yes","No")</f>
        <v>Yes</v>
      </c>
    </row>
    <row r="57" spans="1:4" s="14" customFormat="1" ht="17" x14ac:dyDescent="0.35">
      <c r="A57" s="11" t="s">
        <v>43</v>
      </c>
      <c r="B57" s="12" t="s">
        <v>44</v>
      </c>
      <c r="C57" s="72">
        <f ca="1">SUM(InputData[Weighted Duration])</f>
        <v>0.20795049331779861</v>
      </c>
      <c r="D57" s="13" t="str">
        <f ca="1">IF(C57&lt;=1,"Yes","No")</f>
        <v>Yes</v>
      </c>
    </row>
    <row r="58" spans="1:4" s="14" customFormat="1" ht="17" x14ac:dyDescent="0.35">
      <c r="A58" s="11" t="s">
        <v>45</v>
      </c>
      <c r="B58" s="12" t="s">
        <v>46</v>
      </c>
      <c r="C58" s="72">
        <f ca="1">MAX(InputData[Time to Maturity (days)])/365</f>
        <v>4.9315068493150687</v>
      </c>
      <c r="D58" s="13" t="str">
        <f ca="1">IF(C58&lt;=12,"Yes","No")</f>
        <v>Yes</v>
      </c>
    </row>
    <row r="59" spans="1:4" s="14" customFormat="1" ht="17" x14ac:dyDescent="0.35">
      <c r="A59" s="48" t="s">
        <v>47</v>
      </c>
      <c r="B59" s="35" t="s">
        <v>48</v>
      </c>
      <c r="C59" s="73">
        <f ca="1">SUMIFS(InputData[%Market Value],InputData[Time to Maturity (days)],"&lt;=365")</f>
        <v>0.80971740595655528</v>
      </c>
      <c r="D59" s="49" t="str">
        <f ca="1">IF(C59&gt;=0.75,"Yes","No")</f>
        <v>Yes</v>
      </c>
    </row>
    <row r="60" spans="1:4" s="14" customFormat="1" ht="17.5" thickBot="1" x14ac:dyDescent="0.4">
      <c r="A60" s="50" t="s">
        <v>49</v>
      </c>
      <c r="B60" s="51">
        <v>1</v>
      </c>
      <c r="C60" s="74">
        <v>1</v>
      </c>
      <c r="D60" s="52" t="str">
        <f ca="1">IF(C60&lt;1,"No","Yes")</f>
        <v>Yes</v>
      </c>
    </row>
    <row r="61" spans="1:4" x14ac:dyDescent="0.35">
      <c r="A61" s="53"/>
      <c r="B61" s="54"/>
      <c r="C61" s="55"/>
      <c r="D61" s="56"/>
    </row>
    <row r="62" spans="1:4" x14ac:dyDescent="0.35">
      <c r="A62" s="57"/>
      <c r="B62" s="58"/>
      <c r="C62" s="59"/>
      <c r="D62" s="59"/>
    </row>
    <row r="63" spans="1:4" x14ac:dyDescent="0.35">
      <c r="C63" s="59"/>
      <c r="D63" s="59"/>
    </row>
    <row r="64" spans="1:4" x14ac:dyDescent="0.35">
      <c r="A64" s="60"/>
    </row>
  </sheetData>
  <mergeCells count="17">
    <mergeCell ref="A46:A47"/>
    <mergeCell ref="D46:D47"/>
    <mergeCell ref="A54:A55"/>
    <mergeCell ref="D54:D55"/>
    <mergeCell ref="C62:D63"/>
    <mergeCell ref="A19:D19"/>
    <mergeCell ref="A26:D26"/>
    <mergeCell ref="A32:D32"/>
    <mergeCell ref="A33:D33"/>
    <mergeCell ref="A38:A39"/>
    <mergeCell ref="D38:D39"/>
    <mergeCell ref="A3:A4"/>
    <mergeCell ref="D3:D4"/>
    <mergeCell ref="A14:A15"/>
    <mergeCell ref="D14:D15"/>
    <mergeCell ref="A16:D16"/>
    <mergeCell ref="A18:D18"/>
  </mergeCells>
  <conditionalFormatting sqref="D1:D1048576">
    <cfRule type="cellIs" dxfId="25" priority="1" operator="equal">
      <formula>"No"</formula>
    </cfRule>
  </conditionalFormatting>
  <pageMargins left="0.7" right="0.7" top="0.75" bottom="0.75" header="0.3" footer="0.3"/>
  <pageSetup paperSize="9" scale="5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F2BCB-2D70-4E5C-BEAA-2960F2533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OutputData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Tsepo Moteuli</dc:creator>
  <cp:lastModifiedBy>Tsepo Moteuli</cp:lastModifiedBy>
  <dcterms:created xsi:type="dcterms:W3CDTF">2023-04-25T07:30:55Z</dcterms:created>
  <dcterms:modified xsi:type="dcterms:W3CDTF">2023-04-25T19:53:05Z</dcterms:modified>
</cp:coreProperties>
</file>