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mitc\Desktop\SIA\SA\"/>
    </mc:Choice>
  </mc:AlternateContent>
  <xr:revisionPtr revIDLastSave="0" documentId="13_ncr:1_{D1BE507C-9BED-4090-84FC-1B02E2D7F359}" xr6:coauthVersionLast="47" xr6:coauthVersionMax="47" xr10:uidLastSave="{00000000-0000-0000-0000-000000000000}"/>
  <bookViews>
    <workbookView xWindow="-108" yWindow="-108" windowWidth="23256" windowHeight="12456" activeTab="1" xr2:uid="{00000000-000D-0000-FFFF-FFFF00000000}"/>
  </bookViews>
  <sheets>
    <sheet name="Public EV Recyclers Summary" sheetId="1" r:id="rId1"/>
    <sheet name="Private EV Recyclers 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2" l="1"/>
  <c r="K8" i="2"/>
  <c r="K4" i="2"/>
  <c r="G20" i="1"/>
  <c r="G21" i="1" s="1"/>
  <c r="P18" i="1"/>
  <c r="W12" i="1"/>
  <c r="V12" i="1"/>
  <c r="U12" i="1"/>
  <c r="T12" i="1"/>
  <c r="S12" i="1"/>
  <c r="Q12" i="1"/>
  <c r="N12" i="1"/>
  <c r="M12" i="1"/>
  <c r="L12" i="1"/>
  <c r="K10" i="1"/>
  <c r="K16" i="1" s="1"/>
  <c r="K8" i="1"/>
  <c r="K13" i="1" s="1"/>
  <c r="R7" i="1"/>
  <c r="R6" i="1"/>
  <c r="K6" i="1"/>
  <c r="R5" i="1"/>
  <c r="R4" i="1"/>
  <c r="R12" i="1" s="1"/>
  <c r="K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000-000001000000}">
      <text>
        <r>
          <rPr>
            <sz val="11"/>
            <color rgb="FF000000"/>
            <rFont val="Calibri"/>
          </rPr>
          <t xml:space="preserve">RADHA:
https://www.bcg.com/publications/2020/case-for-circular-economy-in-electric-vehicle-batteries
</t>
        </r>
      </text>
    </comment>
    <comment ref="K4" authorId="0" shapeId="0" xr:uid="{00000000-0006-0000-0000-000002000000}">
      <text>
        <r>
          <rPr>
            <sz val="11"/>
            <color rgb="FF000000"/>
            <rFont val="Calibri"/>
          </rPr>
          <t xml:space="preserve">RADHA:
Sulphates capex
Source: First Quarter 2023 Earnings Call Presentation
</t>
        </r>
      </text>
    </comment>
    <comment ref="X4" authorId="0" shapeId="0" xr:uid="{00000000-0006-0000-0000-000003000000}">
      <text>
        <r>
          <rPr>
            <sz val="11"/>
            <color rgb="FF000000"/>
            <rFont val="Calibri"/>
          </rPr>
          <t xml:space="preserve">RADHA:
https://www.energy.gov/lpo/articles/lpo-announces-conditional-commitment-loan-li-cycles-us-battery-resource-recovery
</t>
        </r>
      </text>
    </comment>
    <comment ref="F5" authorId="0" shapeId="0" xr:uid="{00000000-0006-0000-0000-000004000000}">
      <text>
        <r>
          <rPr>
            <sz val="11"/>
            <color rgb="FF000000"/>
            <rFont val="Calibri"/>
          </rPr>
          <t xml:space="preserve">RADHA:
https://www.umicore.com/en/newsroom/umicore-battery-recycling/
</t>
        </r>
      </text>
    </comment>
    <comment ref="L5" authorId="0" shapeId="0" xr:uid="{00000000-0006-0000-0000-000005000000}">
      <text>
        <r>
          <rPr>
            <sz val="11"/>
            <color rgb="FF000000"/>
            <rFont val="Calibri"/>
          </rPr>
          <t xml:space="preserve">RADHA:
https://www.umicore.com/en/newsroom/new-generation-li-ion-battery-recycling-technologies-and-announces-award-with-acc/
</t>
        </r>
      </text>
    </comment>
    <comment ref="M5" authorId="0" shapeId="0" xr:uid="{00000000-0006-0000-0000-000006000000}">
      <text>
        <r>
          <rPr>
            <sz val="11"/>
            <color rgb="FF000000"/>
            <rFont val="Calibri"/>
          </rPr>
          <t xml:space="preserve">RADHA:
https://www.umicore.com/en/newsroom/new-generation-li-ion-battery-recycling-technologies-and-announces-award-with-acc/
</t>
        </r>
      </text>
    </comment>
    <comment ref="N5" authorId="0" shapeId="0" xr:uid="{00000000-0006-0000-0000-000007000000}">
      <text>
        <r>
          <rPr>
            <sz val="11"/>
            <color rgb="FF000000"/>
            <rFont val="Calibri"/>
          </rPr>
          <t xml:space="preserve">RADHA:
https://www.umicore.com/en/newsroom/umicore-battery-recycling/
</t>
        </r>
      </text>
    </comment>
    <comment ref="O5" authorId="0" shapeId="0" xr:uid="{00000000-0006-0000-0000-000008000000}">
      <text>
        <r>
          <rPr>
            <sz val="11"/>
            <color rgb="FF000000"/>
            <rFont val="Calibri"/>
          </rPr>
          <t xml:space="preserve">RADHA:
USD1.11bn revenue from recycling operations; recycling of precious metals is the key revenue contributor to the recycling revenues; battery materials recycling is relatively a smaller portion of the business
</t>
        </r>
      </text>
    </comment>
    <comment ref="T5" authorId="0" shapeId="0" xr:uid="{00000000-0006-0000-0000-000009000000}">
      <text>
        <r>
          <rPr>
            <sz val="11"/>
            <color rgb="FF000000"/>
            <rFont val="Calibri"/>
          </rPr>
          <t xml:space="preserve">RADHA:
48% EBITDA Margins for recycling operations; not a like to like comparable as Umicore's recycling business primarily includes precious metals recycling
</t>
        </r>
      </text>
    </comment>
    <comment ref="H6" authorId="0" shapeId="0" xr:uid="{00000000-0006-0000-0000-00000A000000}">
      <text>
        <r>
          <rPr>
            <sz val="11"/>
            <color rgb="FF000000"/>
            <rFont val="Calibri"/>
          </rPr>
          <t xml:space="preserve">RADHA:
https://www.gem.com.cn/en/UsedBatteryRecycling/index.html
GEM has built six power battery comprehensive utilization centers in Jingmen, Wuhan, Wuxi,Tianjin, Ningbo, and Shenshan, etc., and deployed a global network recycling system.The annual disassembly capacity is 200,000 tons, and the cascade utilization capacity is 1.5Gwh.The products are mainly used in low-speed electric vehicle batteries as well as power batteriesfor industrial machine, UPS and other fields;
</t>
        </r>
      </text>
    </comment>
    <comment ref="I6" authorId="0" shapeId="0" xr:uid="{00000000-0006-0000-0000-00000B000000}">
      <text>
        <r>
          <rPr>
            <sz val="11"/>
            <color rgb="FF000000"/>
            <rFont val="Calibri"/>
          </rPr>
          <t xml:space="preserve">RADHA:
https://www.bloomberg.com/press-releases/2022-01-07/chinese-waste-recycling-enterprise-gem-co-ltd-implemented-eu-battery-management-regulations
https://www.gem.com.cn/en/UsedBatteryRecycling/index.html
</t>
        </r>
      </text>
    </comment>
    <comment ref="K6" authorId="0" shapeId="0" xr:uid="{00000000-0006-0000-0000-00000C000000}">
      <text>
        <r>
          <rPr>
            <sz val="11"/>
            <color rgb="FF000000"/>
            <rFont val="Calibri"/>
          </rPr>
          <t xml:space="preserve">RADHA:
Pre-cursor capex
https://cleantechnica.com/2021/06/20/gem-is-a-gem-in-the-battery-recycling-industry-that-was-inspired-by-a-toothpaste-experiment/
</t>
        </r>
      </text>
    </comment>
    <comment ref="N6" authorId="0" shapeId="0" xr:uid="{00000000-0006-0000-0000-00000D000000}">
      <text>
        <r>
          <rPr>
            <sz val="11"/>
            <color rgb="FF000000"/>
            <rFont val="Calibri"/>
          </rPr>
          <t xml:space="preserve">RADHA:
https://cleantechnica.com/2021/06/20/gem-is-a-gem-in-the-battery-recycling-industry-that-was-inspired-by-a-toothpaste-experiment/
</t>
        </r>
      </text>
    </comment>
    <comment ref="X6" authorId="0" shapeId="0" xr:uid="{00000000-0006-0000-0000-00000E000000}">
      <text>
        <r>
          <rPr>
            <sz val="11"/>
            <color rgb="FF000000"/>
            <rFont val="Calibri"/>
          </rPr>
          <t xml:space="preserve">RADHA:
HEM Circular Storage Li Ion battery market summary report
https://www.reuters.com/markets/companies/002340.SZ/#:~:text=GEM%20Co%20Ltd%20is%20a,mainly%20engaged%20in%20two%20businesses.
</t>
        </r>
      </text>
    </comment>
    <comment ref="I7" authorId="0" shapeId="0" xr:uid="{00000000-0006-0000-0000-00000F000000}">
      <text>
        <r>
          <rPr>
            <sz val="11"/>
            <color rgb="FF000000"/>
            <rFont val="Calibri"/>
          </rPr>
          <t xml:space="preserve">RADHA:
HSBC initiating coverage report 29 Nov 2022
</t>
        </r>
      </text>
    </comment>
    <comment ref="J7" authorId="0" shapeId="0" xr:uid="{00000000-0006-0000-0000-000010000000}">
      <text>
        <r>
          <rPr>
            <sz val="11"/>
            <color rgb="FF000000"/>
            <rFont val="Calibri"/>
          </rPr>
          <t xml:space="preserve">RADHA:
HSBC initiating coverage report 29 Nov 2022
</t>
        </r>
      </text>
    </comment>
    <comment ref="K7" authorId="0" shapeId="0" xr:uid="{00000000-0006-0000-0000-000011000000}">
      <text>
        <r>
          <rPr>
            <sz val="11"/>
            <color rgb="FF000000"/>
            <rFont val="Calibri"/>
          </rPr>
          <t xml:space="preserve">RADHA:
HSBC initiating coverage report 29 Nov 2022
</t>
        </r>
      </text>
    </comment>
    <comment ref="L7" authorId="0" shapeId="0" xr:uid="{00000000-0006-0000-0000-000012000000}">
      <text>
        <r>
          <rPr>
            <sz val="11"/>
            <color rgb="FF000000"/>
            <rFont val="Calibri"/>
          </rPr>
          <t xml:space="preserve">RADHA:
HSBC initiating coverage report 29 Nov 2022
</t>
        </r>
      </text>
    </comment>
    <comment ref="M7" authorId="0" shapeId="0" xr:uid="{00000000-0006-0000-0000-000013000000}">
      <text>
        <r>
          <rPr>
            <sz val="11"/>
            <color rgb="FF000000"/>
            <rFont val="Calibri"/>
          </rPr>
          <t xml:space="preserve">RADHA:
HSBC initiating coverage report 29 Nov 2022
</t>
        </r>
      </text>
    </comment>
    <comment ref="N7" authorId="0" shapeId="0" xr:uid="{00000000-0006-0000-0000-000014000000}">
      <text>
        <r>
          <rPr>
            <sz val="11"/>
            <color rgb="FF000000"/>
            <rFont val="Calibri"/>
          </rPr>
          <t xml:space="preserve">RADHA:
HSBC initiating coverage report 29 Nov 2022
</t>
        </r>
      </text>
    </comment>
    <comment ref="K9" authorId="0" shapeId="0" xr:uid="{00000000-0006-0000-0000-000015000000}">
      <text>
        <r>
          <rPr>
            <sz val="11"/>
            <color rgb="FF000000"/>
            <rFont val="Calibri"/>
          </rPr>
          <t xml:space="preserve">RADHA:
HSBC initiating coverage report 29 Nov 2022
</t>
        </r>
      </text>
    </comment>
    <comment ref="J18" authorId="0" shapeId="0" xr:uid="{00000000-0006-0000-0000-000016000000}">
      <text>
        <r>
          <rPr>
            <sz val="11"/>
            <color rgb="FF000000"/>
            <rFont val="Calibri"/>
          </rPr>
          <t xml:space="preserve">RADHA:
https://www.financialexpress.com/business/express-mobility-lohum-plans-100-million-capex-to-expand-second-life-battery-recycling-plots-10x-capacity-increase-3109440/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100-000001000000}">
      <text>
        <r>
          <rPr>
            <sz val="11"/>
            <color rgb="FF000000"/>
            <rFont val="Calibri"/>
          </rPr>
          <t xml:space="preserve">RADHA:
https://www.bcg.com/publications/2020/case-for-circular-economy-in-electric-vehicle-batteries
</t>
        </r>
      </text>
    </comment>
    <comment ref="G4" authorId="0" shapeId="0" xr:uid="{00000000-0006-0000-0100-000002000000}">
      <text>
        <r>
          <rPr>
            <sz val="11"/>
            <color rgb="FF000000"/>
            <rFont val="Calibri"/>
          </rPr>
          <t xml:space="preserve">RADHA:
https://www.saurenergy.com/solar-energy-news/redwood-materials-gets-2-billion-federal-funds-for-ev-battery-materials-plant
</t>
        </r>
      </text>
    </comment>
    <comment ref="J4" authorId="0" shapeId="0" xr:uid="{00000000-0006-0000-0100-000003000000}">
      <text>
        <r>
          <rPr>
            <sz val="11"/>
            <color rgb="FF000000"/>
            <rFont val="Calibri"/>
          </rPr>
          <t xml:space="preserve">RADHA:
https://www.theverge.com/2022/12/14/23509031/redwood-materials-ev-battery-recycling-factory
</t>
        </r>
      </text>
    </comment>
    <comment ref="K4" authorId="0" shapeId="0" xr:uid="{00000000-0006-0000-0100-000004000000}">
      <text>
        <r>
          <rPr>
            <sz val="11"/>
            <color rgb="FF000000"/>
            <rFont val="Calibri"/>
          </rPr>
          <t xml:space="preserve">RADHA:
Cathode Active Materials Capex
</t>
        </r>
      </text>
    </comment>
    <comment ref="L4" authorId="0" shapeId="0" xr:uid="{00000000-0006-0000-0100-000005000000}">
      <text>
        <r>
          <rPr>
            <sz val="11"/>
            <color rgb="FF000000"/>
            <rFont val="Calibri"/>
          </rPr>
          <t xml:space="preserve">RADHA:
https://www.saurenergy.com/solar-energy-news/redwood-materials-gets-2-billion-federal-funds-for-ev-battery-materials-plant
</t>
        </r>
      </text>
    </comment>
    <comment ref="M4" authorId="0" shapeId="0" xr:uid="{00000000-0006-0000-0100-000006000000}">
      <text>
        <r>
          <rPr>
            <sz val="11"/>
            <color rgb="FF000000"/>
            <rFont val="Calibri"/>
          </rPr>
          <t xml:space="preserve">RADHA:
https://www.saurenergy.com/solar-energy-news/redwood-materials-gets-2-billion-federal-funds-for-ev-battery-materials-plant
</t>
        </r>
      </text>
    </comment>
    <comment ref="N4" authorId="0" shapeId="0" xr:uid="{00000000-0006-0000-0100-000007000000}">
      <text>
        <r>
          <rPr>
            <sz val="11"/>
            <color rgb="FF000000"/>
            <rFont val="Calibri"/>
          </rPr>
          <t xml:space="preserve">RADHA:
https://www.saurenergy.com/solar-energy-news/redwood-materials-gets-2-billion-federal-funds-for-ev-battery-materials-plant
</t>
        </r>
      </text>
    </comment>
    <comment ref="T4" authorId="0" shapeId="0" xr:uid="{00000000-0006-0000-0100-000008000000}">
      <text>
        <r>
          <rPr>
            <sz val="11"/>
            <color rgb="FF000000"/>
            <rFont val="Calibri"/>
          </rPr>
          <t xml:space="preserve">RADHA:
https://www.cnbc.com/2023/02/09/redwood-materials-nabs-2-billion-loan-for-battery-recycling-in-nevada.html
https://electrek.co/2022/02/17/redwood-materials-collecting-recycling-ev-batteries-volvo-ford-california/
https://www.theverge.com/2022/12/14/23509031/redwood-materials-ev-battery-recycling-factory
https://www.saurenergy.com/solar-energy-news/redwood-materials-gets-2-billion-federal-funds-for-ev-battery-materials-plant
</t>
        </r>
      </text>
    </comment>
    <comment ref="I6" authorId="0" shapeId="0" xr:uid="{00000000-0006-0000-0100-000009000000}">
      <text>
        <r>
          <rPr>
            <sz val="11"/>
            <color rgb="FF000000"/>
            <rFont val="Calibri"/>
          </rPr>
          <t xml:space="preserve">RADHA:
https://www.businessinsider.in/tech/news/northvolt-a-12-billion-startup-founded-by-an-ex-tesla-vp-thinks-crushing-and-shredding-old-batteries-is-the-way-to-make-electric-vehicles-truly-sustainable/articleshow/99221809.cms
</t>
        </r>
      </text>
    </comment>
    <comment ref="T6" authorId="0" shapeId="0" xr:uid="{00000000-0006-0000-0100-00000A000000}">
      <text>
        <r>
          <rPr>
            <sz val="11"/>
            <color rgb="FF000000"/>
            <rFont val="Calibri"/>
          </rPr>
          <t xml:space="preserve">RADHA:
https://northvolt.com/articles/northvolt-financing-july2022/
</t>
        </r>
      </text>
    </comment>
    <comment ref="G8" authorId="0" shapeId="0" xr:uid="{00000000-0006-0000-0100-00000B000000}">
      <text>
        <r>
          <rPr>
            <sz val="11"/>
            <color rgb="FF000000"/>
            <rFont val="Calibri"/>
          </rPr>
          <t xml:space="preserve">RADHA:
https://www.prnewswire.com/news-releases/ascend-elements-secures-300-million-in-funding-301660175.html
</t>
        </r>
      </text>
    </comment>
    <comment ref="I8" authorId="0" shapeId="0" xr:uid="{00000000-0006-0000-0100-00000C000000}">
      <text>
        <r>
          <rPr>
            <sz val="11"/>
            <color rgb="FF000000"/>
            <rFont val="Calibri"/>
          </rPr>
          <t xml:space="preserve">RADHA:
https://www.prnewswire.com/news-releases/ascend-elements-secures-300-million-in-funding-301660175.html
</t>
        </r>
      </text>
    </comment>
    <comment ref="J8" authorId="0" shapeId="0" xr:uid="{00000000-0006-0000-0100-00000D000000}">
      <text>
        <r>
          <rPr>
            <sz val="11"/>
            <color rgb="FF000000"/>
            <rFont val="Calibri"/>
          </rPr>
          <t xml:space="preserve">RADHA:
https://www.prnewswire.com/news-releases/ascend-elements-secures-300-million-in-funding-301660175.html
</t>
        </r>
      </text>
    </comment>
    <comment ref="K8" authorId="0" shapeId="0" xr:uid="{00000000-0006-0000-0100-00000E000000}">
      <text>
        <r>
          <rPr>
            <sz val="11"/>
            <color rgb="FF000000"/>
            <rFont val="Calibri"/>
          </rPr>
          <t xml:space="preserve">RADHA:
https://www.prnewswire.com/news-releases/ascend-elements-opens-north-americas-largest-electric-vehicle-battery-recycling-facility-in-georgia-301786245.html
</t>
        </r>
      </text>
    </comment>
    <comment ref="L8" authorId="0" shapeId="0" xr:uid="{00000000-0006-0000-0100-00000F000000}">
      <text>
        <r>
          <rPr>
            <sz val="11"/>
            <color rgb="FF000000"/>
            <rFont val="Calibri"/>
          </rPr>
          <t xml:space="preserve">RADHA:
https://www.prnewswire.com/news-releases/ascend-elements-opens-north-americas-largest-electric-vehicle-battery-recycling-facility-in-georgia-301786245.html
</t>
        </r>
      </text>
    </comment>
    <comment ref="M8" authorId="0" shapeId="0" xr:uid="{00000000-0006-0000-0100-000010000000}">
      <text>
        <r>
          <rPr>
            <sz val="11"/>
            <color rgb="FF000000"/>
            <rFont val="Calibri"/>
          </rPr>
          <t xml:space="preserve">RADHA:
https://www.prnewswire.com/news-releases/ascend-elements-opens-north-americas-largest-electric-vehicle-battery-recycling-facility-in-georgia-301786245.html
</t>
        </r>
      </text>
    </comment>
    <comment ref="N8" authorId="0" shapeId="0" xr:uid="{00000000-0006-0000-0100-000011000000}">
      <text>
        <r>
          <rPr>
            <sz val="11"/>
            <color rgb="FF000000"/>
            <rFont val="Calibri"/>
          </rPr>
          <t xml:space="preserve">RADHA:
https://www.prnewswire.com/news-releases/ascend-elements-opens-north-americas-largest-electric-vehicle-battery-recycling-facility-in-georgia-301786245.html
</t>
        </r>
      </text>
    </comment>
    <comment ref="T8" authorId="0" shapeId="0" xr:uid="{00000000-0006-0000-0100-000012000000}">
      <text>
        <r>
          <rPr>
            <sz val="11"/>
            <color rgb="FF000000"/>
            <rFont val="Calibri"/>
          </rPr>
          <t xml:space="preserve">RADHA:
https://www.prnewswire.com/news-releases/ascend-elements-opens-north-americas-largest-electric-vehicle-battery-recycling-facility-in-georgia-301786245.html
</t>
        </r>
      </text>
    </comment>
    <comment ref="I10" authorId="0" shapeId="0" xr:uid="{00000000-0006-0000-0100-000013000000}">
      <text>
        <r>
          <rPr>
            <sz val="11"/>
            <color rgb="FF000000"/>
            <rFont val="Calibri"/>
          </rPr>
          <t xml:space="preserve">RADHA:
https://www.prnewswire.com/news-releases/cirba-solutions-to-build-world-class-ev-battery-materials-facility-in-south-carolina-301778311.html
</t>
        </r>
      </text>
    </comment>
    <comment ref="J10" authorId="0" shapeId="0" xr:uid="{00000000-0006-0000-0100-000014000000}">
      <text>
        <r>
          <rPr>
            <sz val="11"/>
            <color rgb="FF000000"/>
            <rFont val="Calibri"/>
          </rPr>
          <t xml:space="preserve">RADHA:
https://www.prnewswire.com/news-releases/cirba-solutions-to-build-world-class-ev-battery-materials-facility-in-south-carolina-301778311.html
</t>
        </r>
      </text>
    </comment>
    <comment ref="T10" authorId="0" shapeId="0" xr:uid="{00000000-0006-0000-0100-000015000000}">
      <text>
        <r>
          <rPr>
            <sz val="11"/>
            <color rgb="FF000000"/>
            <rFont val="Calibri"/>
          </rPr>
          <t xml:space="preserve">RADHA:
https://www.prnewswire.com/news-releases/cirba-solutions-to-build-world-class-ev-battery-materials-facility-in-south-carolina-301778311.html
</t>
        </r>
      </text>
    </comment>
  </commentList>
</comments>
</file>

<file path=xl/sharedStrings.xml><?xml version="1.0" encoding="utf-8"?>
<sst xmlns="http://schemas.openxmlformats.org/spreadsheetml/2006/main" count="231" uniqueCount="216">
  <si>
    <t>Recycling Operations</t>
  </si>
  <si>
    <t>Reuse / 2nd life operations</t>
  </si>
  <si>
    <t>Recycling Capacity</t>
  </si>
  <si>
    <t>Capex ($/Ton)</t>
  </si>
  <si>
    <t>Yields</t>
  </si>
  <si>
    <t>Revenue ($mn)</t>
  </si>
  <si>
    <t>Revenue Growth (%)</t>
  </si>
  <si>
    <t>Gross Margins (%)</t>
  </si>
  <si>
    <t>EBITDA Margins (%)</t>
  </si>
  <si>
    <t>Asset Turns (EBITDA / Fixed Assets)</t>
  </si>
  <si>
    <t>Business Description</t>
  </si>
  <si>
    <t>Company</t>
  </si>
  <si>
    <t>Geography</t>
  </si>
  <si>
    <t>Type of Operations</t>
  </si>
  <si>
    <t>Black Mass</t>
  </si>
  <si>
    <t>Sulphates</t>
  </si>
  <si>
    <t>Cathode active materials / precursors</t>
  </si>
  <si>
    <t>Existing Capacity</t>
  </si>
  <si>
    <t>Future Targets</t>
  </si>
  <si>
    <t>Cobalt</t>
  </si>
  <si>
    <t>Nickel</t>
  </si>
  <si>
    <t>Lithium</t>
  </si>
  <si>
    <t xml:space="preserve">TTM </t>
  </si>
  <si>
    <t>NTM</t>
  </si>
  <si>
    <t>TTM</t>
  </si>
  <si>
    <t>NTM</t>
  </si>
  <si>
    <t>TTM</t>
  </si>
  <si>
    <t>TTM</t>
  </si>
  <si>
    <t>NTM</t>
  </si>
  <si>
    <t>TTM</t>
  </si>
  <si>
    <t>NTM</t>
  </si>
  <si>
    <t>Li-Cycle</t>
  </si>
  <si>
    <t>US / Canada</t>
  </si>
  <si>
    <t>Independent Recycler</t>
  </si>
  <si>
    <t>Yes</t>
  </si>
  <si>
    <t>- Not Yet; looking to Commence in Late 2023; their plans of completing the construction of sulphate processing facility have gotten delayed a couple of times earlier as well 
- In fact, Morgan Stanley clearly highlighted LiCycle's execution shortfalls as a key concern in their research report
- Further, setting up Sulphates facilities is not easy and it takes time to set them up, get them running and more importantly, improve the yields without escalating Opex
- From this perspective, Lohum has shown a great amount of agility to set up Sulphates facilities, expanding the capacity from ~40 to ~2500 Tons/year in 2 quarters and scaling the utilization from 2% to 50% + improvement in yields (to 95%+ for Co and Ni; 80%+ for Li) during the same period. This demonstrates Lohum's execution capabilities</t>
  </si>
  <si>
    <t>No</t>
  </si>
  <si>
    <t>No</t>
  </si>
  <si>
    <t>~25.5K Tons of BM output per annum</t>
  </si>
  <si>
    <t>- Total 2023 Planned Spoke Capacity (Black Mass): ~40.5K tons of BM output per year
- Sulphates / Hub Capacity (To commence in late 2023): equivalent to 35K Tons of BM Input per Year</t>
  </si>
  <si>
    <t>Not Applicable</t>
  </si>
  <si>
    <t>Not Applicable</t>
  </si>
  <si>
    <t>Not Applicable</t>
  </si>
  <si>
    <t>NA</t>
  </si>
  <si>
    <r>
      <t xml:space="preserve">- Li-Cycle operates in the lithium-ion battery resource recovery area to produce recycled battery grade materials to help create local, closed-loop supply chains
</t>
    </r>
    <r>
      <rPr>
        <sz val="10.5"/>
        <rFont val="Calibri"/>
      </rPr>
      <t>- Spoke &amp; Hub Network</t>
    </r>
    <r>
      <rPr>
        <sz val="10.5"/>
        <rFont val="Calibri"/>
      </rPr>
      <t>- They have four operational Spoke recycling facilities in North America with the capacity to produce 25.5K Tons of BM output per annum</t>
    </r>
    <r>
      <rPr>
        <sz val="11"/>
        <color rgb="FF000000"/>
        <rFont val="Calibri"/>
      </rPr>
      <t xml:space="preserve">
- They have four operational Spoke recycling facilities in North America with the capacity to produce 25.5K Tons of BM output per annum</t>
    </r>
    <r>
      <rPr>
        <sz val="10.5"/>
        <rFont val="Calibri"/>
      </rPr>
      <t>- A sulphates facility at the Rochester Hub is under construction; this facility is expected to process up to 35,000 tonnes of black mass per year into Sulphates</t>
    </r>
    <r>
      <rPr>
        <sz val="11"/>
        <color rgb="FF000000"/>
        <rFont val="Calibri"/>
      </rPr>
      <t xml:space="preserve">
- A sulphates facility at the Rochester Hub is under construction; this facility is expected to process up to 35,000 tonnes of black mass per year into Sulphates</t>
    </r>
  </si>
  <si>
    <t>Points on how Tech is superiror and how it can bring down the costs</t>
  </si>
  <si>
    <t>Umicore</t>
  </si>
  <si>
    <t>Brussles</t>
  </si>
  <si>
    <t>Cell Component Manufacturer (Cathode, materials,metals)</t>
  </si>
  <si>
    <t>Yes</t>
  </si>
  <si>
    <t>Yes</t>
  </si>
  <si>
    <t>Yes</t>
  </si>
  <si>
    <t>No</t>
  </si>
  <si>
    <t>Annual capacity of 3.5K tons of black mass output</t>
  </si>
  <si>
    <t>Battery Recycling plant with an output capacity of ~75K Tonnes is under construction in Europe and is expected to be ready by 2026</t>
  </si>
  <si>
    <t>Not Available</t>
  </si>
  <si>
    <t>- Umicore is one of the leading producers of NMC and LCO cathode materials in the world for which the cobalt and nickel from their process is used
- There are 3 parts to Umicore business:
• Cathode materials:key component of electric batteries which is the key factor in EV travel distance, battery safety, and cost
• Catalysis: ~30% market share; Mainly exposed to light duty (lower catalyst value per vehicle)
• Recycling: Recycling of precious metals. These are often used in catalysts or in cathode materials leading to synergies with Umicore’s other business. Umicore can recover 28 precious and non-ferrous metals from feed including industrial residues, electronic scrap, batteries, automotive and industrial catalysts and fuel cells. Recovered materials are transformed into pure metals or new products</t>
  </si>
  <si>
    <t xml:space="preserve">GEM Co., Ltd. </t>
  </si>
  <si>
    <t>China</t>
  </si>
  <si>
    <t>Cell Component Manufacturer (Cathode, materials,metals)</t>
  </si>
  <si>
    <t>Yes</t>
  </si>
  <si>
    <t>Yes</t>
  </si>
  <si>
    <t>Yes</t>
  </si>
  <si>
    <t>Yes</t>
  </si>
  <si>
    <t>- Total dismantling capacity accounts to 215KT/year
- Battery material recycling capacity:  annual output of 130K tons</t>
  </si>
  <si>
    <t>- Planning to scale up the total power battery recovery volumes to &gt;250K tons by 2025
-  Looking to collaborate with upstream and downstream companies globally to realize the recovery of 30K - 50K Tons of scarce resources such as Co and Ni and large-scale applications of 2nd life use cases</t>
  </si>
  <si>
    <t>Not Available</t>
  </si>
  <si>
    <t>Not Available</t>
  </si>
  <si>
    <t>- Primarily engaged in the recycling of waste cobalt nickel tungsten copper resources and electronic waste. The Company is mainly engaged in two businesses:
a) The waste resources comprehensive utilization business mainly includes waste power batteries, electronic waste, scrapped automobiles, waste plastics and strategic resource recovery and treatment of nickel-cobalt-lithium-tungsten, nickel-cobalt-tungsten resource remanufacturing, cobalt-nickel-tungsten powder materials and modified plastics
b) The new energy business mainly includes the manufacture of ternary precursors and ternary cathode materials for power batteries and cobalt tetroxide materials for digital batteries
c) The Company is also engaged in new energy recycling business, mainly including comprehensive utilization of power batteries and end-of-life vehicles, environmental services, and trading business
- Today GEM Co. handles 10% of the recycling of electronic waste and 10% of discarded batteries in China. It also handles 5% of automobile recycling.</t>
  </si>
  <si>
    <t>Sungeel HiTech</t>
  </si>
  <si>
    <t>S. Korea</t>
  </si>
  <si>
    <t>Cell Component Manufacturer (Cathode, materials,metals)</t>
  </si>
  <si>
    <t>Yes</t>
  </si>
  <si>
    <t>Yes</t>
  </si>
  <si>
    <t>Yes</t>
  </si>
  <si>
    <t>No</t>
  </si>
  <si>
    <t>- Existing annual capacity of 4.6ktons via   8 Recycling Parks and 2 Hydro Centers</t>
  </si>
  <si>
    <t>- Planning to increase the capacity to 34.4ktons by 2030 via 30 Recycling Parks and 5 Hydro Centers by 2030</t>
  </si>
  <si>
    <t>Black Mass</t>
  </si>
  <si>
    <t>Not Applicable (The company is in the process of converting its lithium production line (previously lithium
phosphate) to lithium carbonate)</t>
  </si>
  <si>
    <t>- SungEel HiTech is Korea’s largest LIB recycling company in terms of capacity and production. They are looking to expand globally in anticipation of the rapid growth in the recycling market
- SungEel HiTech began its LIB recycling business in 2008, and completed its first Recycling Park in 2008 and its first Hydro
Center in 2011. They turned profitable in 2021 after its second Hydro Center started operations.</t>
  </si>
  <si>
    <t>Sulphates</t>
  </si>
  <si>
    <t>Average</t>
  </si>
  <si>
    <t>Black Mass</t>
  </si>
  <si>
    <t>Sulphates</t>
  </si>
  <si>
    <t>Lohum</t>
  </si>
  <si>
    <t>India</t>
  </si>
  <si>
    <t>Only integrated player globally (ex China) that can recycle &amp; repurpose Lithium-ion battery packs</t>
  </si>
  <si>
    <t>Yes</t>
  </si>
  <si>
    <t>Yes</t>
  </si>
  <si>
    <t>Yes (setting up 2 pilot plants of 100MwH equivalent for the cathode active materials; Once we qualify the process, we will look to set up a larger capacity of ~20GwH). More details about Lohum's Cathode Active Materials Plan are covered in the Summary Section</t>
  </si>
  <si>
    <t>Yes</t>
  </si>
  <si>
    <t>- 300 MwH of Battery Dismantling 
-300MwH of repurposing capacity
- 2GwH of recycling capacity (BM Output Capacity: 7000 Tons / Year; Sulphates Output Capacity: 2400 Tons / Year; room to expand the cumulative recycling output capacity to 10K Tons / year by adding more lines)</t>
  </si>
  <si>
    <t>- Planning $100Mn capex to expand the second life battery recycling capacity by 10x
- Also looking to set up facilities in US and Europe</t>
  </si>
  <si>
    <t>- To produce 1 Tons of Black Mass and Process it into Sulphates: $3000 
- Cathode Active Materials: $[ ] TPA</t>
  </si>
  <si>
    <t>95% in the first iteration</t>
  </si>
  <si>
    <t>95% in the first iteration</t>
  </si>
  <si>
    <t>80% in the first iteration</t>
  </si>
  <si>
    <t>- FY23 Revenue: $37Mn
- Mar'23 Annualized Revenue: ~$59Mn</t>
  </si>
  <si>
    <t>TBC Post Business Plan</t>
  </si>
  <si>
    <t>x2</t>
  </si>
  <si>
    <t>Recycling Operations</t>
  </si>
  <si>
    <t>Reuse / 2nd life operations</t>
  </si>
  <si>
    <t>Recycling Capacity</t>
  </si>
  <si>
    <t>Capex</t>
  </si>
  <si>
    <t>Yields</t>
  </si>
  <si>
    <t>Latest Funding details</t>
  </si>
  <si>
    <t>Business Description</t>
  </si>
  <si>
    <t>Company</t>
  </si>
  <si>
    <t>Geography</t>
  </si>
  <si>
    <t>Type of Operations</t>
  </si>
  <si>
    <t>Black Mass</t>
  </si>
  <si>
    <t>Sulphates</t>
  </si>
  <si>
    <t>Cathode active materials / precursors</t>
  </si>
  <si>
    <t>Existing Capacity</t>
  </si>
  <si>
    <t>Future Targets</t>
  </si>
  <si>
    <t>Cobalt</t>
  </si>
  <si>
    <t>Nickel</t>
  </si>
  <si>
    <t>Lithium</t>
  </si>
  <si>
    <t>Round Date &amp; Name</t>
  </si>
  <si>
    <t>Round Size ($mn)</t>
  </si>
  <si>
    <t>Post money Valuation ($mn)</t>
  </si>
  <si>
    <t>Total Capital Raised ($mn)</t>
  </si>
  <si>
    <t>Key Investors</t>
  </si>
  <si>
    <t>Redwood Materials</t>
  </si>
  <si>
    <t>USA</t>
  </si>
  <si>
    <t>Independent Recycler</t>
  </si>
  <si>
    <t>Yes</t>
  </si>
  <si>
    <t>Yes</t>
  </si>
  <si>
    <t>Not yet (Redwood got $2bn loan from US Department of Energy (DOE). Using these funds, they are constructing a new facility in Nevada region. Through this facility, they are looking to produce 36,000 metric tons of ultra-thin battery-grade copper foil and 100,000 metric tons of cathode active materials per year)</t>
  </si>
  <si>
    <t>No</t>
  </si>
  <si>
    <t>Has the capacity to handle 6 GWh (9000 Tons)of batteries per year =&gt; ~60,000 EV batteries;
15K Tons of BM output per year</t>
  </si>
  <si>
    <t>Dec 2022: building a $3.5bn facility in South Carolina to produce ~100 GWH of cathode and anode components =&gt; planning to initiate the first recycling process by the end of the year</t>
  </si>
  <si>
    <t>Debt (Feb 2023) (Conditional Loan)</t>
  </si>
  <si>
    <t>NA</t>
  </si>
  <si>
    <t>To fill</t>
  </si>
  <si>
    <t>US Department of Energy</t>
  </si>
  <si>
    <t>Redwood Materials was founded in 2017 by Jeffrey “JB” Straubel, a former chief technology officer of Tesla. In addition to breaking down scrap from Tesla’s battery-making process with Panasonic, Redwood also recycles EV batteries from Ford, Toyota, Nissan, Specialized, Amazon, Lyft, and others.
Many of the batteries from those first-wave electric vehicles, like the Nissan Leaf, are just now reaching their end of lifespan and are in need of recycling. After receiving batteries from its various partners, Redwood begins a chemical recycling process, in which it strips out and refines the relevant elements like nickel, cobalt, and copper. A certain percentage of that refined material can then be reintegrated into the battery-making process.
Its existing operations at Nevada recycles end-of-life batteries from consumer electronics like cell phone batteries, laptop computers, power tools, and other electronic waste</t>
  </si>
  <si>
    <t>Series C (Sep-21)</t>
  </si>
  <si>
    <t>T. Rowe Price,
Baillie Gifford,
Fidelity Investments,
Goldman Sachs,
Franklin Templeton Investments,
CPP Investments</t>
  </si>
  <si>
    <t>Northvolt</t>
  </si>
  <si>
    <t>Sweden</t>
  </si>
  <si>
    <t>Li-ion cell manufacturer</t>
  </si>
  <si>
    <t>Yes</t>
  </si>
  <si>
    <t>Not Yet (Planning to start by the end 2023)</t>
  </si>
  <si>
    <t>Produces Cells and Batteries. They are primarily Lithium-ion battery producers</t>
  </si>
  <si>
    <t>No</t>
  </si>
  <si>
    <t>Northvolt has one recycling facility up and running, a JV partnership with the energy and aluminum company Hydro. The Hydrovolt pilot runs Northvolt's recycling process up to the black-mass stage. Northvolt takes the black mass, while Hydro takes the aluminum</t>
  </si>
  <si>
    <t>With vertically integrated approach, they have established 3 manufacturing facilities (already a portion of the operations are running): 
a) Northvolt Ett, its first battery giga factory established in Northern Sweden. The factory also serves as the site for manufacturing active materials, cell assembly and battery recycling
b) Northvolt Dwa, Gdansk in Poland will serve as a facility that will provide solutions to power motorcycles mining machines, energy storage systems and ferries
c) Northvolt Drei in Heide, Northern Germany will be powered by renewable energy and is expected to produce enough green batteries to power 1 million electric vehicles</t>
  </si>
  <si>
    <t>Not Available</t>
  </si>
  <si>
    <t>Convertible Round (Jul'22)</t>
  </si>
  <si>
    <t>AMF
Baillie Gifford
Folksam Group Goldman Sachs  IMAS Foundation Olympia Group OMERS
Volkswagen Group</t>
  </si>
  <si>
    <t>Northvolt AB is a Swedish battery developer and manufacturer, specialising in lithium-ion technology for EVs. They produced its first battery cell at the Northvolt Ett gigafactory in Skellefteå, Sweden, just before New Year's Eve 2021, and made the first commercial deliveries from the factory during the spring of 2022. Presently, the company is developing manufacturing capacity to deliver on $55 billion in orders from key customers, including BMW, Fluence, Scania, Volvo Cars, and Volkswagen Group. A key aspect to Northvolt’s strategy involves establishing in-house competences and presence throughout the battery value chain, including cathode material production and recycling. Through its large-scale recycling program, Northvolt intends to enable 50% of its raw material requirements to be sourced from recycled batteries by 2030.</t>
  </si>
  <si>
    <t>Not Applicable</t>
  </si>
  <si>
    <t>Not Applicable</t>
  </si>
  <si>
    <t>Not Applicable</t>
  </si>
  <si>
    <r>
      <rPr>
        <sz val="10.5"/>
        <color rgb="FFFF0000"/>
        <rFont val="Calibri"/>
      </rPr>
      <t>Series [ ]</t>
    </r>
    <r>
      <rPr>
        <sz val="10.5"/>
        <rFont val="Calibri"/>
      </rPr>
      <t xml:space="preserve"> (Jun 2021)</t>
    </r>
  </si>
  <si>
    <t>Goldman Sachs
Volkswagen
Swedish pension funds AP1-4
OMERS, one of Canada’s largest pension plan
AMF, ATP, Baillie Gifford, Baron Capital Group, Bridford Investments, Scania</t>
  </si>
  <si>
    <t>Ascend Elements</t>
  </si>
  <si>
    <t>USA</t>
  </si>
  <si>
    <t>Independent Recycler</t>
  </si>
  <si>
    <t>Yes</t>
  </si>
  <si>
    <t>Yes</t>
  </si>
  <si>
    <t>Yes</t>
  </si>
  <si>
    <t>No</t>
  </si>
  <si>
    <t>Annual capacity to process 30,000 metric tons of used lithium-ion batteries and manufacturing scrap – equal to 70,000 EV batteries per year</t>
  </si>
  <si>
    <t>The company expects to recycle more than 150,000 metric tons of lithium-ion batteries per year globally by 2026</t>
  </si>
  <si>
    <t>upto 98%</t>
  </si>
  <si>
    <t>upto 98%</t>
  </si>
  <si>
    <t>upto 98%</t>
  </si>
  <si>
    <t>Series C (Oct-21)</t>
  </si>
  <si>
    <t>NA</t>
  </si>
  <si>
    <t>Fifth Wall, Oman Investment Authority,
Lithium Americas, 
SK Eco Plant</t>
  </si>
  <si>
    <t>Ascend Elements provides sustainable and closed-loop battery material solutions. From EV battery recycling to commercial-scale productions of lithium-ion battery precursor (pCAM) and cathode active materials (CAM), Ascend Elements is playing in the production of sustainable lithium-ion battery materials. Its Hydro-to-Cathode™ direct precursor synthesis technology produces new CAM from spent lithium-ion cells more efficiently than traditional methods, resulting in improved economics and lowered GHG emissions</t>
  </si>
  <si>
    <t>This funding is in addition to two recently awarded grants totaling $480 million from the Department of Energy.</t>
  </si>
  <si>
    <t>Cirba Solutions</t>
  </si>
  <si>
    <t>USA</t>
  </si>
  <si>
    <t>Independent Recycler</t>
  </si>
  <si>
    <t>Yes</t>
  </si>
  <si>
    <t>Yes</t>
  </si>
  <si>
    <t>No</t>
  </si>
  <si>
    <t>No</t>
  </si>
  <si>
    <t>Existing battery processing facilities in Lancaster, Ohio and Trail and British Columbia</t>
  </si>
  <si>
    <t>Mar 23: announced a phase I investment of more than $300 million into a battery recycling facility in South Carolina. This facility is expected to provide battery grade materials for more than 500,000 EVs annually</t>
  </si>
  <si>
    <t>Not Available</t>
  </si>
  <si>
    <t>Not Available</t>
  </si>
  <si>
    <t>Not Available</t>
  </si>
  <si>
    <t>Series B (Feb-23)</t>
  </si>
  <si>
    <t>NA</t>
  </si>
  <si>
    <t>[To fill]</t>
  </si>
  <si>
    <t>Marubeni, EQT</t>
  </si>
  <si>
    <t>Cirba Solutions takes batteries at end-of-life, process them to extract critical materials and supply those materials back into the supply chain. With an operational, differentiated platform, its full suite of capabilities address lithium-ion and cross-chemistry battery demand supporting a circular battery supply chain for the industry. It provides end-to-end battery recycling management solutions, offering battery-centric logistics, collection program solutions, second-life applications and validating cathode production, with technological processes that emphasize environmental compliance</t>
  </si>
  <si>
    <t>Tozero</t>
  </si>
  <si>
    <t>Germany</t>
  </si>
  <si>
    <t>Li Ion Battery Recycler</t>
  </si>
  <si>
    <t>tozero is now focusing on scaling its process, with the ambitious goal of building its first commercial-size plant with a 30k tonnes capacity by 2030.</t>
  </si>
  <si>
    <t>Pre-Seed Round (Sep-22)</t>
  </si>
  <si>
    <t>Atlantic Labs, Possible ventures</t>
  </si>
  <si>
    <t>Primobius</t>
  </si>
  <si>
    <t>Primobius GmbH is an incorporated joint venture between Australian Securities Exchange listed company Neometals Ltd (ASX:NMT) and private German global plant manufacturer, SMS group GmbH, to commercialise an efficient, environmentally-friendly recycling solution for end-of-life and scrap lithium-ion battery (LIB) cells. The Primobius recycling process offers a scaleable, efficient, sustainable recycling solution that generates high purity, low carbon footprint battery materials for reuse in the battery supply chain.</t>
  </si>
  <si>
    <t>Grant (Jul-22)</t>
  </si>
  <si>
    <t>€365K</t>
  </si>
  <si>
    <t>€3.5m</t>
  </si>
  <si>
    <t>Luxemburg &amp; Poland</t>
  </si>
  <si>
    <t>Eneris</t>
  </si>
  <si>
    <t>Resource Segregation, Resource Collection, Resource Collection, Resource recycling, Energy Recovery</t>
  </si>
  <si>
    <t>Debt (May-24)</t>
  </si>
  <si>
    <t>$74.5m</t>
  </si>
  <si>
    <t>Provider of environmental services intended to protect the environment and improve the standard of living of Polish residents. The company offers comprehensive services and infrastructure for local governments and businesses including raw materials management, energy production from renewable sources, waste, sludge, and biomass, as well as water and sewage management, and more.</t>
  </si>
  <si>
    <t>Alterity</t>
  </si>
  <si>
    <t>Li ion Battery manufacturer</t>
  </si>
  <si>
    <t>Bilbao</t>
  </si>
  <si>
    <t>ALTERITY IS A COMPANY THAT DESIGNS, DEVELOPS AND MANUFACTURES LITHIUM BATTERY SYSTEMS.</t>
  </si>
  <si>
    <t>No Info</t>
  </si>
  <si>
    <t>18,250 t/a</t>
  </si>
  <si>
    <t> They are on a mission to build a scalable lithium-ion battery recycling machine to recover the critical materials inside, like lithium, nickel, cobalt, and graphite in a sustainable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</si>
</sst>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gt;0]\ * #,##0\ ;[&lt;0]\ * \-#,##0\ ;\ * &quot;-&quot;#??\ "/>
    <numFmt numFmtId="165" formatCode="[&gt;=0]&quot;$&quot;#,##0\ ;\-&quot;$&quot;#,##0\ "/>
    <numFmt numFmtId="166" formatCode="#0%"/>
    <numFmt numFmtId="167" formatCode="#,##0.00\x"/>
    <numFmt numFmtId="168" formatCode="#0.00\x"/>
    <numFmt numFmtId="169" formatCode="mmm\-yy"/>
    <numFmt numFmtId="170" formatCode="&quot;$&quot;#,##0.00"/>
  </numFmts>
  <fonts count="12" x14ac:knownFonts="1">
    <font>
      <sz val="11"/>
      <color rgb="FF000000"/>
      <name val="Calibri"/>
    </font>
    <font>
      <sz val="10.5"/>
      <name val="Calibri"/>
    </font>
    <font>
      <sz val="10.5"/>
      <color rgb="FF0000F0"/>
      <name val="Calibri"/>
    </font>
    <font>
      <b/>
      <sz val="10.5"/>
      <name val="Calibri"/>
    </font>
    <font>
      <b/>
      <sz val="10.5"/>
      <color rgb="FF0D0D0D"/>
      <name val="Calibri"/>
    </font>
    <font>
      <b/>
      <sz val="10.5"/>
      <name val="Calibri"/>
    </font>
    <font>
      <sz val="10.5"/>
      <color rgb="FFFF0000"/>
      <name val="Calibri"/>
    </font>
    <font>
      <i/>
      <sz val="10.5"/>
      <name val="Calibri"/>
    </font>
    <font>
      <u/>
      <sz val="11"/>
      <color theme="10"/>
      <name val="Calibri"/>
      <family val="2"/>
    </font>
    <font>
      <sz val="10.5"/>
      <name val="Calibri"/>
      <family val="2"/>
    </font>
    <font>
      <sz val="8"/>
      <color rgb="FF282828"/>
      <name val="Calibri Light"/>
      <family val="2"/>
      <scheme val="major"/>
    </font>
    <font>
      <i/>
      <sz val="10.5"/>
      <name val="Calibri"/>
      <family val="2"/>
    </font>
  </fonts>
  <fills count="4">
    <fill>
      <patternFill patternType="none"/>
    </fill>
    <fill>
      <patternFill patternType="gray125"/>
    </fill>
    <fill>
      <patternFill patternType="solid">
        <fgColor rgb="FFD6DCE5"/>
      </patternFill>
    </fill>
    <fill>
      <patternFill patternType="solid">
        <fgColor rgb="FFFFFFFF"/>
      </patternFill>
    </fill>
  </fills>
  <borders count="61">
    <border>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dotted">
        <color rgb="FF595959"/>
      </left>
      <right/>
      <top style="dotted">
        <color rgb="FF595959"/>
      </top>
      <bottom/>
      <diagonal/>
    </border>
    <border>
      <left/>
      <right/>
      <top style="dotted">
        <color rgb="FF595959"/>
      </top>
      <bottom/>
      <diagonal/>
    </border>
    <border>
      <left/>
      <right style="dotted">
        <color rgb="FF595959"/>
      </right>
      <top style="dotted">
        <color rgb="FF595959"/>
      </top>
      <bottom/>
      <diagonal/>
    </border>
    <border>
      <left style="dotted">
        <color rgb="FF595959"/>
      </left>
      <right/>
      <top/>
      <bottom/>
      <diagonal/>
    </border>
    <border>
      <left/>
      <right style="dotted">
        <color rgb="FF595959"/>
      </right>
      <top/>
      <bottom/>
      <diagonal/>
    </border>
    <border>
      <left/>
      <right style="thin">
        <color rgb="FF595959"/>
      </right>
      <top/>
      <bottom style="thin">
        <color rgb="FF000000"/>
      </bottom>
      <diagonal/>
    </border>
    <border>
      <left style="thin">
        <color rgb="FF595959"/>
      </left>
      <right style="thin">
        <color rgb="FF595959"/>
      </right>
      <top/>
      <bottom style="thin">
        <color rgb="FF000000"/>
      </bottom>
      <diagonal/>
    </border>
    <border>
      <left style="thin">
        <color rgb="FF595959"/>
      </left>
      <right style="thin">
        <color rgb="FF595959"/>
      </right>
      <top/>
      <bottom/>
      <diagonal/>
    </border>
    <border>
      <left style="thin">
        <color rgb="FF595959"/>
      </left>
      <right/>
      <top/>
      <bottom/>
      <diagonal/>
    </border>
    <border>
      <left/>
      <right style="thin">
        <color rgb="FF595959"/>
      </right>
      <top/>
      <bottom/>
      <diagonal/>
    </border>
    <border>
      <left style="dotted">
        <color rgb="FF595959"/>
      </left>
      <right/>
      <top/>
      <bottom style="dotted">
        <color rgb="FF595959"/>
      </bottom>
      <diagonal/>
    </border>
    <border>
      <left/>
      <right/>
      <top/>
      <bottom style="dotted">
        <color rgb="FF595959"/>
      </bottom>
      <diagonal/>
    </border>
    <border>
      <left style="thin">
        <color rgb="FF595959"/>
      </left>
      <right style="thin">
        <color rgb="FF595959"/>
      </right>
      <top style="thin">
        <color rgb="FF595959"/>
      </top>
      <bottom/>
      <diagonal/>
    </border>
    <border>
      <left/>
      <right style="thin">
        <color rgb="FF595959"/>
      </right>
      <top/>
      <bottom style="thin">
        <color rgb="FF595959"/>
      </bottom>
      <diagonal/>
    </border>
    <border>
      <left style="thin">
        <color rgb="FF595959"/>
      </left>
      <right style="thin">
        <color rgb="FF595959"/>
      </right>
      <top/>
      <bottom style="thin">
        <color rgb="FF595959"/>
      </bottom>
      <diagonal/>
    </border>
    <border>
      <left style="thin">
        <color rgb="FF595959"/>
      </left>
      <right/>
      <top/>
      <bottom style="thin">
        <color rgb="FF595959"/>
      </bottom>
      <diagonal/>
    </border>
    <border>
      <left/>
      <right/>
      <top/>
      <bottom style="thin">
        <color rgb="FF595959"/>
      </bottom>
      <diagonal/>
    </border>
    <border>
      <left style="dotted">
        <color rgb="FF595959"/>
      </left>
      <right/>
      <top style="dotted">
        <color rgb="FF595959"/>
      </top>
      <bottom style="dotted">
        <color rgb="FF595959"/>
      </bottom>
      <diagonal/>
    </border>
    <border>
      <left/>
      <right/>
      <top style="dotted">
        <color rgb="FF595959"/>
      </top>
      <bottom style="dotted">
        <color rgb="FF595959"/>
      </bottom>
      <diagonal/>
    </border>
    <border>
      <left style="thin">
        <color rgb="FF595959"/>
      </left>
      <right/>
      <top style="thin">
        <color rgb="FF595959"/>
      </top>
      <bottom/>
      <diagonal/>
    </border>
    <border>
      <left/>
      <right/>
      <top style="thin">
        <color rgb="FF595959"/>
      </top>
      <bottom/>
      <diagonal/>
    </border>
    <border>
      <left/>
      <right style="thin">
        <color rgb="FF595959"/>
      </right>
      <top style="thin">
        <color rgb="FF595959"/>
      </top>
      <bottom/>
      <diagonal/>
    </border>
    <border>
      <left/>
      <right style="thin">
        <color rgb="FF595959"/>
      </right>
      <top style="dotted">
        <color rgb="FF595959"/>
      </top>
      <bottom/>
      <diagonal/>
    </border>
    <border>
      <left style="thin">
        <color rgb="FF595959"/>
      </left>
      <right/>
      <top/>
      <bottom style="thin">
        <color rgb="FF000000"/>
      </bottom>
      <diagonal/>
    </border>
    <border>
      <left style="thin">
        <color rgb="FF595959"/>
      </left>
      <right/>
      <top style="thin">
        <color rgb="FF000000"/>
      </top>
      <bottom/>
      <diagonal/>
    </border>
    <border>
      <left/>
      <right style="thin">
        <color rgb="FF595959"/>
      </right>
      <top style="thin">
        <color rgb="FF000000"/>
      </top>
      <bottom/>
      <diagonal/>
    </border>
    <border>
      <left style="thin">
        <color rgb="FF595959"/>
      </left>
      <right style="thin">
        <color rgb="FF595959"/>
      </right>
      <top style="thin">
        <color rgb="FF595959"/>
      </top>
      <bottom style="thin">
        <color rgb="FF595959"/>
      </bottom>
      <diagonal/>
    </border>
    <border>
      <left style="thin">
        <color rgb="FF595959"/>
      </left>
      <right/>
      <top style="thin">
        <color rgb="FF595959"/>
      </top>
      <bottom style="thin">
        <color rgb="FF595959"/>
      </bottom>
      <diagonal/>
    </border>
    <border>
      <left/>
      <right/>
      <top style="thin">
        <color rgb="FF595959"/>
      </top>
      <bottom style="thin">
        <color rgb="FF595959"/>
      </bottom>
      <diagonal/>
    </border>
    <border>
      <left/>
      <right style="thin">
        <color rgb="FF595959"/>
      </right>
      <top style="thin">
        <color rgb="FF595959"/>
      </top>
      <bottom style="thin">
        <color rgb="FF59595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rgb="FF595959"/>
      </top>
      <bottom style="thin">
        <color indexed="64"/>
      </bottom>
      <diagonal/>
    </border>
    <border>
      <left/>
      <right style="thin">
        <color indexed="64"/>
      </right>
      <top style="thin">
        <color rgb="FF595959"/>
      </top>
      <bottom style="thin">
        <color indexed="64"/>
      </bottom>
      <diagonal/>
    </border>
    <border>
      <left style="thin">
        <color indexed="64"/>
      </left>
      <right style="thin">
        <color indexed="64"/>
      </right>
      <top style="thin">
        <color rgb="FF595959"/>
      </top>
      <bottom/>
      <diagonal/>
    </border>
  </borders>
  <cellStyleXfs count="2">
    <xf numFmtId="0" fontId="0" fillId="0" borderId="0"/>
    <xf numFmtId="0" fontId="8" fillId="0" borderId="0" applyNumberFormat="0" applyFill="0" applyBorder="0" applyAlignment="0" applyProtection="0"/>
  </cellStyleXfs>
  <cellXfs count="257">
    <xf numFmtId="0" fontId="0" fillId="0" borderId="0" xfId="0"/>
    <xf numFmtId="0" fontId="1" fillId="0" borderId="0" xfId="0" applyFont="1"/>
    <xf numFmtId="164" fontId="1" fillId="0" borderId="0" xfId="0" applyNumberFormat="1" applyFo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center" wrapText="1"/>
    </xf>
    <xf numFmtId="0" fontId="3" fillId="0" borderId="0" xfId="0" applyFont="1" applyAlignment="1">
      <alignment horizontal="center"/>
    </xf>
    <xf numFmtId="0" fontId="4" fillId="0" borderId="0" xfId="0" applyFont="1" applyAlignment="1">
      <alignment horizontal="center" vertical="center" wrapText="1"/>
    </xf>
    <xf numFmtId="0" fontId="5" fillId="0" borderId="0" xfId="0" applyFont="1"/>
    <xf numFmtId="0" fontId="3" fillId="0" borderId="0" xfId="0" applyFont="1"/>
    <xf numFmtId="0" fontId="4" fillId="0" borderId="0" xfId="0" applyFont="1" applyAlignment="1">
      <alignment horizontal="center" wrapText="1"/>
    </xf>
    <xf numFmtId="0" fontId="1" fillId="0" borderId="1" xfId="0" applyFont="1" applyBorder="1"/>
    <xf numFmtId="0" fontId="1" fillId="0" borderId="2" xfId="0" applyFont="1" applyBorder="1"/>
    <xf numFmtId="0" fontId="1" fillId="0" borderId="3" xfId="0" applyFont="1" applyBorder="1" applyAlignment="1">
      <alignment wrapText="1"/>
    </xf>
    <xf numFmtId="0" fontId="1" fillId="0" borderId="1"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wrapText="1"/>
    </xf>
    <xf numFmtId="0" fontId="1" fillId="0" borderId="4" xfId="0" applyFont="1" applyBorder="1" applyAlignment="1">
      <alignment wrapText="1"/>
    </xf>
    <xf numFmtId="165" fontId="1" fillId="0" borderId="3" xfId="0" applyNumberFormat="1" applyFont="1" applyBorder="1" applyAlignment="1">
      <alignment wrapText="1"/>
    </xf>
    <xf numFmtId="0" fontId="1" fillId="0" borderId="1" xfId="0" applyFont="1" applyBorder="1" applyAlignment="1">
      <alignment horizontal="right" wrapText="1"/>
    </xf>
    <xf numFmtId="0" fontId="1" fillId="0" borderId="3" xfId="0" applyFont="1" applyBorder="1" applyAlignment="1">
      <alignment horizontal="right" wrapText="1"/>
    </xf>
    <xf numFmtId="0" fontId="1" fillId="0" borderId="4" xfId="0" applyFont="1" applyBorder="1" applyAlignment="1">
      <alignment horizontal="right" wrapText="1"/>
    </xf>
    <xf numFmtId="164" fontId="1" fillId="0" borderId="3" xfId="0" applyNumberFormat="1" applyFont="1" applyBorder="1" applyAlignment="1">
      <alignment horizontal="center"/>
    </xf>
    <xf numFmtId="166" fontId="1" fillId="0" borderId="3" xfId="0" applyNumberFormat="1" applyFont="1" applyBorder="1" applyAlignment="1">
      <alignment horizontal="center"/>
    </xf>
    <xf numFmtId="167" fontId="1" fillId="0" borderId="3" xfId="0" applyNumberFormat="1" applyFont="1" applyBorder="1" applyAlignment="1">
      <alignment horizontal="center" wrapText="1"/>
    </xf>
    <xf numFmtId="0" fontId="1" fillId="0" borderId="2" xfId="0" applyFont="1" applyBorder="1" applyAlignment="1">
      <alignment wrapText="1"/>
    </xf>
    <xf numFmtId="0" fontId="1" fillId="0" borderId="3" xfId="0" applyFont="1" applyBorder="1"/>
    <xf numFmtId="0" fontId="1" fillId="0" borderId="3" xfId="0" applyFont="1" applyBorder="1" applyAlignment="1">
      <alignment horizontal="center" wrapText="1"/>
    </xf>
    <xf numFmtId="166" fontId="1" fillId="0" borderId="1" xfId="0" applyNumberFormat="1" applyFont="1" applyBorder="1" applyAlignment="1">
      <alignment horizontal="right" wrapText="1"/>
    </xf>
    <xf numFmtId="166" fontId="1" fillId="0" borderId="3" xfId="0" applyNumberFormat="1" applyFont="1" applyBorder="1" applyAlignment="1">
      <alignment horizontal="right" wrapText="1"/>
    </xf>
    <xf numFmtId="166" fontId="1" fillId="0" borderId="4" xfId="0" applyNumberFormat="1" applyFont="1" applyBorder="1" applyAlignment="1">
      <alignment horizontal="right" wrapText="1"/>
    </xf>
    <xf numFmtId="0" fontId="6" fillId="0" borderId="1" xfId="0" applyFont="1" applyBorder="1" applyAlignment="1">
      <alignment wrapText="1"/>
    </xf>
    <xf numFmtId="0" fontId="6" fillId="0" borderId="4" xfId="0" applyFont="1" applyBorder="1" applyAlignment="1">
      <alignment wrapText="1"/>
    </xf>
    <xf numFmtId="165" fontId="1" fillId="0" borderId="3" xfId="0" applyNumberFormat="1" applyFont="1" applyBorder="1" applyAlignment="1">
      <alignment horizontal="right" wrapText="1"/>
    </xf>
    <xf numFmtId="166" fontId="1" fillId="0" borderId="1" xfId="0" applyNumberFormat="1" applyFont="1" applyBorder="1" applyAlignment="1">
      <alignment horizontal="right"/>
    </xf>
    <xf numFmtId="165" fontId="1" fillId="0" borderId="5" xfId="0" applyNumberFormat="1" applyFont="1" applyBorder="1" applyAlignment="1">
      <alignment horizontal="right" wrapText="1"/>
    </xf>
    <xf numFmtId="165" fontId="1" fillId="0" borderId="2" xfId="0" applyNumberFormat="1" applyFont="1" applyBorder="1" applyAlignment="1">
      <alignment horizontal="right" wrapText="1"/>
    </xf>
    <xf numFmtId="165" fontId="6" fillId="0" borderId="2" xfId="0" applyNumberFormat="1" applyFont="1" applyBorder="1" applyAlignment="1">
      <alignment horizontal="right" wrapText="1"/>
    </xf>
    <xf numFmtId="0" fontId="5" fillId="2" borderId="0" xfId="0" applyFont="1" applyFill="1" applyAlignment="1">
      <alignment horizontal="right"/>
    </xf>
    <xf numFmtId="165" fontId="5" fillId="2" borderId="0" xfId="0" applyNumberFormat="1" applyFont="1" applyFill="1"/>
    <xf numFmtId="0" fontId="5" fillId="2" borderId="0" xfId="0" applyFont="1" applyFill="1"/>
    <xf numFmtId="0" fontId="1" fillId="0" borderId="12" xfId="0" applyFont="1" applyBorder="1"/>
    <xf numFmtId="0" fontId="1" fillId="0" borderId="13" xfId="0" applyFont="1" applyBorder="1"/>
    <xf numFmtId="0" fontId="1" fillId="0" borderId="13" xfId="0" applyFont="1" applyBorder="1" applyAlignment="1">
      <alignment wrapText="1"/>
    </xf>
    <xf numFmtId="0" fontId="1" fillId="0" borderId="12" xfId="0" applyFont="1" applyBorder="1" applyAlignment="1">
      <alignment horizontal="center"/>
    </xf>
    <xf numFmtId="0" fontId="1" fillId="0" borderId="13" xfId="0" applyFont="1" applyBorder="1" applyAlignment="1">
      <alignment horizontal="center" wrapText="1"/>
    </xf>
    <xf numFmtId="0" fontId="1" fillId="0" borderId="14" xfId="0" applyFont="1" applyBorder="1" applyAlignment="1">
      <alignment horizontal="right" wrapText="1"/>
    </xf>
    <xf numFmtId="0" fontId="1" fillId="0" borderId="13" xfId="0" applyFont="1" applyBorder="1" applyAlignment="1">
      <alignment horizontal="center"/>
    </xf>
    <xf numFmtId="0" fontId="1" fillId="0" borderId="12" xfId="0" applyFont="1" applyBorder="1" applyAlignment="1">
      <alignment wrapText="1"/>
    </xf>
    <xf numFmtId="0" fontId="1" fillId="0" borderId="14" xfId="0" applyFont="1" applyBorder="1" applyAlignment="1">
      <alignment wrapText="1"/>
    </xf>
    <xf numFmtId="165" fontId="1" fillId="0" borderId="13" xfId="0" applyNumberFormat="1" applyFont="1" applyBorder="1" applyAlignment="1">
      <alignment horizontal="left" wrapText="1"/>
    </xf>
    <xf numFmtId="166" fontId="1" fillId="0" borderId="12" xfId="0" applyNumberFormat="1" applyFont="1" applyBorder="1" applyAlignment="1">
      <alignment horizontal="right" wrapText="1"/>
    </xf>
    <xf numFmtId="166" fontId="1" fillId="0" borderId="13" xfId="0" applyNumberFormat="1" applyFont="1" applyBorder="1" applyAlignment="1">
      <alignment horizontal="right" wrapText="1"/>
    </xf>
    <xf numFmtId="166" fontId="1" fillId="0" borderId="14" xfId="0" applyNumberFormat="1" applyFont="1" applyBorder="1" applyAlignment="1">
      <alignment horizontal="right" wrapText="1"/>
    </xf>
    <xf numFmtId="164" fontId="1" fillId="0" borderId="13" xfId="0" applyNumberFormat="1" applyFont="1" applyBorder="1" applyAlignment="1">
      <alignment horizontal="left" wrapText="1"/>
    </xf>
    <xf numFmtId="164" fontId="1" fillId="0" borderId="13" xfId="0" applyNumberFormat="1" applyFont="1" applyBorder="1" applyAlignment="1">
      <alignment horizontal="center"/>
    </xf>
    <xf numFmtId="166" fontId="1" fillId="0" borderId="13" xfId="0" applyNumberFormat="1" applyFont="1" applyBorder="1" applyAlignment="1">
      <alignment horizontal="center"/>
    </xf>
    <xf numFmtId="167" fontId="1" fillId="0" borderId="13" xfId="0" applyNumberFormat="1" applyFont="1" applyBorder="1" applyAlignment="1">
      <alignment horizontal="center" wrapText="1"/>
    </xf>
    <xf numFmtId="0" fontId="1" fillId="0" borderId="15" xfId="0" applyFont="1" applyBorder="1" applyAlignment="1">
      <alignment wrapText="1"/>
    </xf>
    <xf numFmtId="0" fontId="3" fillId="0" borderId="9" xfId="0" applyFont="1" applyBorder="1" applyAlignment="1">
      <alignment horizontal="center" vertical="center"/>
    </xf>
    <xf numFmtId="0" fontId="3" fillId="0" borderId="11" xfId="0" applyFont="1" applyBorder="1" applyAlignment="1">
      <alignment horizontal="center"/>
    </xf>
    <xf numFmtId="0" fontId="5" fillId="0" borderId="20" xfId="0" applyFont="1" applyBorder="1" applyAlignment="1">
      <alignment horizontal="center" vertical="center" wrapText="1"/>
    </xf>
    <xf numFmtId="0" fontId="5" fillId="0" borderId="0" xfId="0" applyFont="1" applyAlignment="1">
      <alignment horizontal="center" vertical="center" wrapText="1"/>
    </xf>
    <xf numFmtId="0" fontId="5" fillId="0" borderId="21" xfId="0" applyFont="1" applyBorder="1" applyAlignment="1">
      <alignment horizontal="center" vertical="center"/>
    </xf>
    <xf numFmtId="0" fontId="3" fillId="0" borderId="9" xfId="0" applyFont="1" applyBorder="1" applyAlignment="1">
      <alignment horizontal="left"/>
    </xf>
    <xf numFmtId="0" fontId="1" fillId="0" borderId="0" xfId="0" applyFont="1" applyAlignment="1">
      <alignment horizontal="center" vertical="center"/>
    </xf>
    <xf numFmtId="0" fontId="1" fillId="0" borderId="27" xfId="0" applyFont="1" applyBorder="1" applyAlignment="1">
      <alignment horizontal="center" vertical="center" wrapText="1"/>
    </xf>
    <xf numFmtId="3" fontId="1" fillId="0" borderId="28" xfId="0" applyNumberFormat="1" applyFont="1" applyBorder="1" applyAlignment="1">
      <alignment horizontal="center" vertical="center"/>
    </xf>
    <xf numFmtId="0" fontId="1" fillId="0" borderId="28" xfId="0" applyFont="1" applyBorder="1" applyAlignment="1">
      <alignment horizontal="center" vertical="center"/>
    </xf>
    <xf numFmtId="0" fontId="6" fillId="0" borderId="28" xfId="0" applyFont="1" applyBorder="1" applyAlignment="1">
      <alignment horizontal="center" vertical="center"/>
    </xf>
    <xf numFmtId="0" fontId="1" fillId="0" borderId="28" xfId="0" applyFont="1" applyBorder="1" applyAlignment="1">
      <alignment horizontal="center" vertical="center" wrapText="1"/>
    </xf>
    <xf numFmtId="0" fontId="1" fillId="0" borderId="33" xfId="0" applyFont="1" applyBorder="1" applyAlignment="1">
      <alignment horizontal="center" vertical="center"/>
    </xf>
    <xf numFmtId="0" fontId="1" fillId="0" borderId="33" xfId="0" applyFont="1" applyBorder="1" applyAlignment="1">
      <alignment horizontal="center" vertical="center" wrapText="1"/>
    </xf>
    <xf numFmtId="169" fontId="1" fillId="0" borderId="34" xfId="0" applyNumberFormat="1" applyFont="1" applyBorder="1" applyAlignment="1">
      <alignment horizontal="center" vertical="center"/>
    </xf>
    <xf numFmtId="3" fontId="1" fillId="0" borderId="35" xfId="0" applyNumberFormat="1" applyFont="1" applyBorder="1" applyAlignment="1">
      <alignment horizontal="center" vertical="center"/>
    </xf>
    <xf numFmtId="0" fontId="1" fillId="0" borderId="35" xfId="0" applyFont="1" applyBorder="1" applyAlignment="1">
      <alignment horizontal="center" vertical="center" wrapText="1"/>
    </xf>
    <xf numFmtId="0" fontId="1" fillId="0" borderId="29" xfId="0" applyFont="1" applyBorder="1" applyAlignment="1">
      <alignment horizontal="center"/>
    </xf>
    <xf numFmtId="0" fontId="1" fillId="0" borderId="36" xfId="0" applyFont="1" applyBorder="1" applyAlignment="1">
      <alignment horizontal="center"/>
    </xf>
    <xf numFmtId="0" fontId="1" fillId="0" borderId="36" xfId="0" applyFont="1" applyBorder="1"/>
    <xf numFmtId="0" fontId="1" fillId="0" borderId="37" xfId="0" applyFont="1" applyBorder="1"/>
    <xf numFmtId="0" fontId="1" fillId="0" borderId="38" xfId="0" applyFont="1" applyBorder="1"/>
    <xf numFmtId="169" fontId="1" fillId="0" borderId="0" xfId="0" applyNumberFormat="1" applyFont="1" applyAlignment="1">
      <alignment wrapText="1"/>
    </xf>
    <xf numFmtId="0" fontId="1" fillId="0" borderId="39" xfId="0" applyFont="1" applyBorder="1" applyAlignment="1">
      <alignment wrapText="1"/>
    </xf>
    <xf numFmtId="0" fontId="1" fillId="0" borderId="32" xfId="0" applyFont="1" applyBorder="1" applyAlignment="1">
      <alignment horizontal="center" wrapText="1"/>
    </xf>
    <xf numFmtId="0" fontId="1" fillId="0" borderId="33" xfId="0" applyFont="1" applyBorder="1" applyAlignment="1">
      <alignment horizontal="center" wrapText="1"/>
    </xf>
    <xf numFmtId="0" fontId="1" fillId="0" borderId="30" xfId="0" applyFont="1" applyBorder="1" applyAlignment="1">
      <alignment horizontal="center" wrapText="1"/>
    </xf>
    <xf numFmtId="0" fontId="1" fillId="0" borderId="26" xfId="0" applyFont="1" applyBorder="1" applyAlignment="1">
      <alignment wrapText="1"/>
    </xf>
    <xf numFmtId="0" fontId="1" fillId="0" borderId="37" xfId="0" applyFont="1" applyBorder="1" applyAlignment="1">
      <alignment horizontal="center"/>
    </xf>
    <xf numFmtId="0" fontId="1" fillId="0" borderId="38" xfId="0" applyFont="1" applyBorder="1" applyAlignment="1">
      <alignment horizontal="center"/>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7" xfId="0" applyFont="1" applyBorder="1" applyAlignment="1">
      <alignment horizontal="center" vertical="center"/>
    </xf>
    <xf numFmtId="0" fontId="1" fillId="3" borderId="38" xfId="0" applyFont="1" applyFill="1" applyBorder="1" applyAlignment="1">
      <alignment horizontal="center" vertical="center" wrapText="1"/>
    </xf>
    <xf numFmtId="0" fontId="1" fillId="0" borderId="32" xfId="0" applyFont="1" applyBorder="1" applyAlignment="1">
      <alignment horizontal="left" vertical="center"/>
    </xf>
    <xf numFmtId="0" fontId="1" fillId="0" borderId="33" xfId="0" applyFont="1" applyBorder="1"/>
    <xf numFmtId="0" fontId="1" fillId="3" borderId="30" xfId="0" applyFont="1" applyFill="1" applyBorder="1" applyAlignment="1">
      <alignment horizontal="center" vertical="center" wrapText="1"/>
    </xf>
    <xf numFmtId="0" fontId="1" fillId="0" borderId="44" xfId="0" applyFont="1" applyBorder="1" applyAlignment="1">
      <alignment wrapText="1"/>
    </xf>
    <xf numFmtId="0" fontId="1" fillId="0" borderId="46" xfId="0" applyFont="1" applyBorder="1" applyAlignment="1">
      <alignment wrapText="1"/>
    </xf>
    <xf numFmtId="0" fontId="1" fillId="0" borderId="45" xfId="0" applyFont="1" applyBorder="1" applyAlignment="1">
      <alignment wrapText="1"/>
    </xf>
    <xf numFmtId="0" fontId="1" fillId="0" borderId="43" xfId="0" applyFont="1" applyBorder="1" applyAlignment="1">
      <alignment wrapText="1"/>
    </xf>
    <xf numFmtId="0" fontId="1" fillId="0" borderId="8"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center"/>
    </xf>
    <xf numFmtId="0" fontId="1" fillId="0" borderId="11"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9"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left" wrapText="1"/>
    </xf>
    <xf numFmtId="0" fontId="1" fillId="0" borderId="10" xfId="0" applyFont="1" applyBorder="1" applyAlignment="1">
      <alignment horizontal="left" wrapText="1"/>
    </xf>
    <xf numFmtId="0" fontId="1" fillId="0" borderId="1" xfId="0" applyFont="1" applyBorder="1" applyAlignment="1">
      <alignment horizontal="left" wrapText="1"/>
    </xf>
    <xf numFmtId="0" fontId="1" fillId="0" borderId="7" xfId="0" applyFont="1" applyBorder="1" applyAlignment="1">
      <alignment horizontal="left" wrapText="1"/>
    </xf>
    <xf numFmtId="0" fontId="1" fillId="0" borderId="11" xfId="0" applyFont="1" applyBorder="1" applyAlignment="1">
      <alignment horizontal="left" wrapText="1"/>
    </xf>
    <xf numFmtId="0" fontId="1" fillId="0" borderId="4" xfId="0" applyFont="1" applyBorder="1" applyAlignment="1">
      <alignment horizontal="left" wrapText="1"/>
    </xf>
    <xf numFmtId="166" fontId="1" fillId="0" borderId="6" xfId="0" applyNumberFormat="1" applyFont="1" applyBorder="1" applyAlignment="1">
      <alignment horizontal="center" wrapText="1"/>
    </xf>
    <xf numFmtId="166" fontId="1" fillId="0" borderId="10" xfId="0" applyNumberFormat="1" applyFont="1" applyBorder="1" applyAlignment="1">
      <alignment horizontal="center" wrapText="1"/>
    </xf>
    <xf numFmtId="166" fontId="1" fillId="0" borderId="1" xfId="0" applyNumberFormat="1" applyFont="1" applyBorder="1" applyAlignment="1">
      <alignment horizontal="center" wrapText="1"/>
    </xf>
    <xf numFmtId="166" fontId="1" fillId="0" borderId="8" xfId="0" applyNumberFormat="1" applyFont="1" applyBorder="1" applyAlignment="1">
      <alignment horizontal="center" wrapText="1"/>
    </xf>
    <xf numFmtId="166" fontId="1" fillId="0" borderId="0" xfId="0" applyNumberFormat="1" applyFont="1" applyAlignment="1">
      <alignment horizontal="center" wrapText="1"/>
    </xf>
    <xf numFmtId="166" fontId="1" fillId="0" borderId="3" xfId="0" applyNumberFormat="1" applyFont="1" applyBorder="1" applyAlignment="1">
      <alignment horizontal="center" wrapText="1"/>
    </xf>
    <xf numFmtId="166" fontId="1" fillId="0" borderId="7" xfId="0" applyNumberFormat="1" applyFont="1" applyBorder="1" applyAlignment="1">
      <alignment horizontal="right" wrapText="1"/>
    </xf>
    <xf numFmtId="166" fontId="1" fillId="0" borderId="11" xfId="0" applyNumberFormat="1" applyFont="1" applyBorder="1" applyAlignment="1">
      <alignment horizontal="right" wrapText="1"/>
    </xf>
    <xf numFmtId="166" fontId="1" fillId="0" borderId="4" xfId="0" applyNumberFormat="1" applyFont="1" applyBorder="1" applyAlignment="1">
      <alignment horizontal="right" wrapText="1"/>
    </xf>
    <xf numFmtId="164" fontId="1" fillId="0" borderId="8" xfId="0" applyNumberFormat="1" applyFont="1" applyBorder="1" applyAlignment="1">
      <alignment horizontal="center"/>
    </xf>
    <xf numFmtId="164" fontId="1" fillId="0" borderId="0" xfId="0" applyNumberFormat="1" applyFont="1" applyAlignment="1">
      <alignment horizontal="center"/>
    </xf>
    <xf numFmtId="164" fontId="1" fillId="0" borderId="3" xfId="0" applyNumberFormat="1" applyFont="1" applyBorder="1" applyAlignment="1">
      <alignment horizontal="center"/>
    </xf>
    <xf numFmtId="166" fontId="1" fillId="0" borderId="8" xfId="0" applyNumberFormat="1" applyFont="1" applyBorder="1" applyAlignment="1">
      <alignment horizontal="center"/>
    </xf>
    <xf numFmtId="166" fontId="1" fillId="0" borderId="0" xfId="0" applyNumberFormat="1" applyFont="1" applyAlignment="1">
      <alignment horizontal="center"/>
    </xf>
    <xf numFmtId="166" fontId="1" fillId="0" borderId="3" xfId="0" applyNumberFormat="1" applyFont="1" applyBorder="1" applyAlignment="1">
      <alignment horizontal="center"/>
    </xf>
    <xf numFmtId="167" fontId="1" fillId="0" borderId="8" xfId="0" applyNumberFormat="1" applyFont="1" applyBorder="1" applyAlignment="1">
      <alignment horizontal="center" wrapText="1"/>
    </xf>
    <xf numFmtId="167" fontId="1" fillId="0" borderId="0" xfId="0" applyNumberFormat="1" applyFont="1" applyAlignment="1">
      <alignment horizontal="center" wrapText="1"/>
    </xf>
    <xf numFmtId="167" fontId="1" fillId="0" borderId="3" xfId="0" applyNumberFormat="1" applyFont="1" applyBorder="1" applyAlignment="1">
      <alignment horizontal="center" wrapText="1"/>
    </xf>
    <xf numFmtId="0" fontId="1" fillId="0" borderId="5" xfId="0" applyFont="1" applyBorder="1" applyAlignment="1">
      <alignment horizontal="left" wrapText="1"/>
    </xf>
    <xf numFmtId="0" fontId="1" fillId="0" borderId="9" xfId="0" applyFont="1" applyBorder="1" applyAlignment="1">
      <alignment horizontal="left"/>
    </xf>
    <xf numFmtId="0" fontId="1" fillId="0" borderId="2" xfId="0" applyFont="1" applyBorder="1" applyAlignment="1">
      <alignment horizontal="left"/>
    </xf>
    <xf numFmtId="0" fontId="5" fillId="2" borderId="0" xfId="0" applyFont="1" applyFill="1" applyAlignment="1">
      <alignment horizontal="center"/>
    </xf>
    <xf numFmtId="166" fontId="5" fillId="2" borderId="0" xfId="0" applyNumberFormat="1" applyFont="1" applyFill="1" applyAlignment="1">
      <alignment horizontal="right"/>
    </xf>
    <xf numFmtId="0" fontId="5" fillId="2" borderId="0" xfId="0" applyFont="1" applyFill="1" applyAlignment="1">
      <alignment horizontal="right"/>
    </xf>
    <xf numFmtId="164" fontId="1" fillId="2" borderId="0" xfId="0" applyNumberFormat="1" applyFont="1" applyFill="1" applyAlignment="1">
      <alignment horizontal="center"/>
    </xf>
    <xf numFmtId="0" fontId="1" fillId="2" borderId="0" xfId="0" applyFont="1" applyFill="1" applyAlignment="1">
      <alignment horizontal="center"/>
    </xf>
    <xf numFmtId="0" fontId="3" fillId="0" borderId="0" xfId="0" applyFont="1" applyAlignment="1">
      <alignment horizontal="center" vertical="center"/>
    </xf>
    <xf numFmtId="166" fontId="5" fillId="2" borderId="0" xfId="0" applyNumberFormat="1" applyFont="1" applyFill="1" applyAlignment="1">
      <alignment horizontal="center"/>
    </xf>
    <xf numFmtId="0" fontId="3" fillId="0" borderId="0" xfId="0" applyFont="1" applyAlignment="1">
      <alignment horizontal="center" wrapText="1"/>
    </xf>
    <xf numFmtId="0" fontId="3" fillId="0" borderId="0" xfId="0" applyFont="1" applyAlignment="1">
      <alignment horizontal="center"/>
    </xf>
    <xf numFmtId="168" fontId="5" fillId="2" borderId="0" xfId="0" applyNumberFormat="1" applyFont="1" applyFill="1" applyAlignment="1">
      <alignment horizontal="center"/>
    </xf>
    <xf numFmtId="0" fontId="4" fillId="0" borderId="0" xfId="0" applyFont="1" applyAlignment="1">
      <alignment horizontal="center" vertical="center" wrapText="1"/>
    </xf>
    <xf numFmtId="0" fontId="4" fillId="0" borderId="0" xfId="0" applyFont="1" applyAlignment="1">
      <alignment horizontal="center"/>
    </xf>
    <xf numFmtId="0" fontId="1" fillId="0" borderId="5" xfId="0" applyFont="1" applyBorder="1" applyAlignment="1">
      <alignment horizontal="left"/>
    </xf>
    <xf numFmtId="0" fontId="1" fillId="0" borderId="6" xfId="0" applyFont="1" applyBorder="1" applyAlignment="1">
      <alignment horizontal="left"/>
    </xf>
    <xf numFmtId="0" fontId="1" fillId="0" borderId="10" xfId="0" applyFont="1" applyBorder="1" applyAlignment="1">
      <alignment horizontal="left"/>
    </xf>
    <xf numFmtId="0" fontId="1" fillId="0" borderId="1" xfId="0" applyFont="1" applyBorder="1" applyAlignment="1">
      <alignment horizontal="left"/>
    </xf>
    <xf numFmtId="0" fontId="1" fillId="0" borderId="6" xfId="0" applyFont="1" applyBorder="1" applyAlignment="1">
      <alignment horizontal="center"/>
    </xf>
    <xf numFmtId="0" fontId="1" fillId="0" borderId="10" xfId="0" applyFont="1" applyBorder="1" applyAlignment="1">
      <alignment horizontal="center"/>
    </xf>
    <xf numFmtId="0" fontId="1" fillId="0" borderId="1" xfId="0" applyFont="1" applyBorder="1" applyAlignment="1">
      <alignment horizontal="center"/>
    </xf>
    <xf numFmtId="0" fontId="1" fillId="0" borderId="29" xfId="0" applyFont="1" applyBorder="1" applyAlignment="1">
      <alignment horizontal="center" wrapText="1"/>
    </xf>
    <xf numFmtId="0" fontId="1" fillId="0" borderId="31" xfId="0" applyFont="1" applyBorder="1" applyAlignment="1">
      <alignment horizontal="center" wrapText="1"/>
    </xf>
    <xf numFmtId="0" fontId="1" fillId="0" borderId="29" xfId="0" applyFont="1" applyBorder="1" applyAlignment="1">
      <alignment horizontal="center"/>
    </xf>
    <xf numFmtId="0" fontId="1" fillId="0" borderId="31" xfId="0" applyFont="1" applyBorder="1" applyAlignment="1">
      <alignment horizontal="center"/>
    </xf>
    <xf numFmtId="0" fontId="1" fillId="0" borderId="41" xfId="0" applyFont="1" applyBorder="1" applyAlignment="1">
      <alignment horizontal="center"/>
    </xf>
    <xf numFmtId="0" fontId="1" fillId="0" borderId="32" xfId="0" applyFont="1" applyBorder="1" applyAlignment="1">
      <alignment horizontal="center"/>
    </xf>
    <xf numFmtId="0" fontId="1" fillId="0" borderId="22"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8" xfId="0" applyFont="1" applyBorder="1" applyAlignment="1">
      <alignment horizontal="center"/>
    </xf>
    <xf numFmtId="0" fontId="1" fillId="0" borderId="33" xfId="0" applyFont="1" applyBorder="1" applyAlignment="1">
      <alignment horizontal="center"/>
    </xf>
    <xf numFmtId="0" fontId="1" fillId="0" borderId="23" xfId="0" applyFont="1" applyBorder="1" applyAlignment="1">
      <alignment horizontal="center" vertical="center"/>
    </xf>
    <xf numFmtId="0" fontId="1" fillId="0" borderId="31" xfId="0" applyFont="1" applyBorder="1" applyAlignment="1">
      <alignment horizontal="center" vertical="center"/>
    </xf>
    <xf numFmtId="0" fontId="1" fillId="0" borderId="36" xfId="0" applyFont="1" applyBorder="1" applyAlignment="1">
      <alignment horizontal="center"/>
    </xf>
    <xf numFmtId="0" fontId="1" fillId="0" borderId="40" xfId="0" applyFont="1" applyBorder="1" applyAlignment="1">
      <alignment horizontal="center"/>
    </xf>
    <xf numFmtId="0" fontId="1" fillId="0" borderId="42" xfId="0" applyFont="1" applyBorder="1" applyAlignment="1">
      <alignment horizontal="center"/>
    </xf>
    <xf numFmtId="0" fontId="1" fillId="0" borderId="30" xfId="0" applyFont="1" applyBorder="1" applyAlignment="1">
      <alignment horizontal="center"/>
    </xf>
    <xf numFmtId="0" fontId="1" fillId="0" borderId="37" xfId="0" applyFont="1" applyBorder="1" applyAlignment="1">
      <alignment horizontal="center" wrapText="1"/>
    </xf>
    <xf numFmtId="0" fontId="1" fillId="0" borderId="24"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1" fillId="0" borderId="38" xfId="0" applyFont="1" applyBorder="1" applyAlignment="1">
      <alignment horizontal="center" wrapText="1"/>
    </xf>
    <xf numFmtId="0" fontId="1" fillId="0" borderId="22" xfId="0" applyFont="1" applyBorder="1" applyAlignment="1">
      <alignment horizontal="center" wrapText="1"/>
    </xf>
    <xf numFmtId="0" fontId="1" fillId="0" borderId="36" xfId="0" applyFont="1" applyBorder="1" applyAlignment="1">
      <alignment horizontal="left" wrapText="1"/>
    </xf>
    <xf numFmtId="0" fontId="1" fillId="0" borderId="32" xfId="0" applyFont="1" applyBorder="1" applyAlignment="1">
      <alignment horizontal="left" wrapText="1"/>
    </xf>
    <xf numFmtId="0" fontId="1" fillId="0" borderId="38" xfId="0" applyFont="1" applyBorder="1" applyAlignment="1">
      <alignment horizontal="left" wrapText="1"/>
    </xf>
    <xf numFmtId="0" fontId="1" fillId="0" borderId="30" xfId="0" applyFont="1" applyBorder="1" applyAlignment="1">
      <alignment horizontal="left" wrapText="1"/>
    </xf>
    <xf numFmtId="0" fontId="1" fillId="0" borderId="0" xfId="0" applyFont="1" applyAlignment="1">
      <alignment horizontal="center" vertical="center"/>
    </xf>
    <xf numFmtId="0" fontId="1" fillId="0" borderId="33" xfId="0" applyFont="1" applyBorder="1" applyAlignment="1">
      <alignment horizontal="center" vertical="center"/>
    </xf>
    <xf numFmtId="170" fontId="1" fillId="0" borderId="29" xfId="0" applyNumberFormat="1" applyFont="1" applyBorder="1" applyAlignment="1">
      <alignment horizontal="center"/>
    </xf>
    <xf numFmtId="170" fontId="1" fillId="0" borderId="31" xfId="0" applyNumberFormat="1" applyFont="1" applyBorder="1" applyAlignment="1">
      <alignment horizontal="center"/>
    </xf>
    <xf numFmtId="0" fontId="3" fillId="0" borderId="16" xfId="0" applyFont="1" applyBorder="1" applyAlignment="1">
      <alignment horizontal="center" vertical="center"/>
    </xf>
    <xf numFmtId="0" fontId="1" fillId="0" borderId="26" xfId="0" applyFont="1" applyBorder="1" applyAlignment="1">
      <alignment horizontal="left" vertical="center" wrapText="1"/>
    </xf>
    <xf numFmtId="0" fontId="1" fillId="0" borderId="30" xfId="0" applyFont="1" applyBorder="1" applyAlignment="1">
      <alignment horizontal="left" vertical="center"/>
    </xf>
    <xf numFmtId="0" fontId="1" fillId="0" borderId="24" xfId="0" applyFont="1" applyBorder="1" applyAlignment="1">
      <alignment horizontal="center" vertical="center"/>
    </xf>
    <xf numFmtId="0" fontId="6" fillId="0" borderId="25" xfId="0" applyFont="1" applyBorder="1" applyAlignment="1">
      <alignment horizontal="left" vertical="center" wrapText="1"/>
    </xf>
    <xf numFmtId="0" fontId="6" fillId="0" borderId="32" xfId="0" applyFont="1" applyBorder="1" applyAlignment="1">
      <alignment horizontal="left" vertical="center" wrapText="1"/>
    </xf>
    <xf numFmtId="0" fontId="1" fillId="0" borderId="37" xfId="0" applyFont="1" applyBorder="1" applyAlignment="1">
      <alignment horizontal="center"/>
    </xf>
    <xf numFmtId="0" fontId="6" fillId="0" borderId="26" xfId="0" applyFont="1" applyBorder="1" applyAlignment="1">
      <alignment horizontal="left" vertical="center" wrapText="1"/>
    </xf>
    <xf numFmtId="0" fontId="6" fillId="0" borderId="30" xfId="0" applyFont="1" applyBorder="1" applyAlignment="1">
      <alignment horizontal="left" vertical="center" wrapText="1"/>
    </xf>
    <xf numFmtId="0" fontId="1" fillId="0" borderId="38" xfId="0" applyFont="1" applyBorder="1" applyAlignment="1">
      <alignment horizontal="center"/>
    </xf>
    <xf numFmtId="165" fontId="1" fillId="0" borderId="23" xfId="0" applyNumberFormat="1" applyFont="1" applyBorder="1" applyAlignment="1">
      <alignment horizontal="center" vertical="center"/>
    </xf>
    <xf numFmtId="165" fontId="1" fillId="0" borderId="31" xfId="0" applyNumberFormat="1" applyFont="1" applyBorder="1" applyAlignment="1">
      <alignment horizontal="center" vertical="center"/>
    </xf>
    <xf numFmtId="166" fontId="1" fillId="0" borderId="25" xfId="0" applyNumberFormat="1" applyFont="1" applyBorder="1" applyAlignment="1">
      <alignment horizontal="center" vertical="center" wrapText="1"/>
    </xf>
    <xf numFmtId="0" fontId="1" fillId="0" borderId="32" xfId="0" applyFont="1" applyBorder="1" applyAlignment="1">
      <alignment horizontal="center" vertical="center" wrapText="1"/>
    </xf>
    <xf numFmtId="166" fontId="1" fillId="0" borderId="0" xfId="0" applyNumberFormat="1" applyFont="1" applyAlignment="1">
      <alignment horizontal="center" vertical="center" wrapText="1"/>
    </xf>
    <xf numFmtId="0" fontId="1" fillId="0" borderId="33" xfId="0" applyFont="1" applyBorder="1" applyAlignment="1">
      <alignment horizontal="center" vertical="center" wrapText="1"/>
    </xf>
    <xf numFmtId="166" fontId="1" fillId="0" borderId="26" xfId="0" applyNumberFormat="1" applyFont="1" applyBorder="1" applyAlignment="1">
      <alignment horizontal="center" vertical="center" wrapText="1"/>
    </xf>
    <xf numFmtId="0" fontId="1" fillId="0" borderId="29" xfId="0" applyFont="1" applyBorder="1" applyAlignment="1">
      <alignment horizontal="left" wrapText="1"/>
    </xf>
    <xf numFmtId="0" fontId="1" fillId="0" borderId="31" xfId="0" applyFont="1" applyBorder="1" applyAlignment="1">
      <alignment horizontal="left" wrapText="1"/>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7" fillId="0" borderId="29" xfId="0" applyFont="1" applyBorder="1" applyAlignment="1">
      <alignment horizontal="left" vertical="center" wrapText="1"/>
    </xf>
    <xf numFmtId="0" fontId="7" fillId="0" borderId="31" xfId="0" applyFont="1" applyBorder="1" applyAlignment="1">
      <alignment horizontal="left" vertical="center" wrapText="1"/>
    </xf>
    <xf numFmtId="0" fontId="1" fillId="0" borderId="29" xfId="0" applyFont="1" applyBorder="1"/>
    <xf numFmtId="0" fontId="1" fillId="0" borderId="36" xfId="0" applyFont="1" applyBorder="1" applyAlignment="1">
      <alignment horizontal="center" wrapText="1"/>
    </xf>
    <xf numFmtId="0" fontId="1" fillId="0" borderId="47" xfId="0" applyFont="1" applyBorder="1"/>
    <xf numFmtId="0" fontId="9" fillId="0" borderId="47" xfId="0" applyFont="1" applyBorder="1"/>
    <xf numFmtId="0" fontId="9" fillId="0" borderId="47" xfId="0" applyFont="1" applyBorder="1" applyAlignment="1">
      <alignment horizontal="center" vertical="center" wrapText="1"/>
    </xf>
    <xf numFmtId="0" fontId="1" fillId="0" borderId="48" xfId="0" applyFont="1" applyBorder="1"/>
    <xf numFmtId="0" fontId="1" fillId="0" borderId="49" xfId="0" applyFont="1" applyBorder="1"/>
    <xf numFmtId="0" fontId="1" fillId="0" borderId="50" xfId="0" applyFont="1" applyBorder="1"/>
    <xf numFmtId="0" fontId="1" fillId="0" borderId="52" xfId="0" applyFont="1" applyBorder="1"/>
    <xf numFmtId="0" fontId="1" fillId="0" borderId="53" xfId="0" applyFont="1" applyBorder="1"/>
    <xf numFmtId="0" fontId="9" fillId="0" borderId="51" xfId="0" applyFont="1" applyBorder="1" applyAlignment="1">
      <alignment horizontal="center"/>
    </xf>
    <xf numFmtId="0" fontId="9" fillId="0" borderId="53" xfId="0" applyFont="1" applyBorder="1" applyAlignment="1">
      <alignment horizontal="center"/>
    </xf>
    <xf numFmtId="0" fontId="9" fillId="0" borderId="48" xfId="0" applyFont="1" applyBorder="1" applyAlignment="1">
      <alignment horizontal="center" vertical="center" wrapText="1"/>
    </xf>
    <xf numFmtId="0" fontId="9" fillId="0" borderId="50" xfId="0" applyFont="1" applyBorder="1" applyAlignment="1">
      <alignment horizontal="center"/>
    </xf>
    <xf numFmtId="0" fontId="9" fillId="0" borderId="48" xfId="0" applyFont="1" applyBorder="1" applyAlignment="1">
      <alignment horizontal="center"/>
    </xf>
    <xf numFmtId="0" fontId="1" fillId="0" borderId="54" xfId="0" applyFont="1" applyBorder="1"/>
    <xf numFmtId="0" fontId="1" fillId="0" borderId="36" xfId="0" applyFont="1" applyBorder="1" applyAlignment="1">
      <alignment horizontal="center" vertical="center"/>
    </xf>
    <xf numFmtId="0" fontId="6" fillId="0" borderId="37" xfId="0" applyFont="1" applyBorder="1" applyAlignment="1">
      <alignment horizontal="center" vertical="center"/>
    </xf>
    <xf numFmtId="0" fontId="1" fillId="0" borderId="38" xfId="0" applyFont="1" applyBorder="1" applyAlignment="1">
      <alignment horizontal="center" vertical="center" wrapText="1"/>
    </xf>
    <xf numFmtId="0" fontId="9" fillId="0" borderId="51" xfId="0" applyFont="1" applyBorder="1" applyAlignment="1">
      <alignment vertical="center"/>
    </xf>
    <xf numFmtId="0" fontId="10" fillId="0" borderId="50" xfId="0" applyFont="1" applyBorder="1" applyAlignment="1">
      <alignment horizontal="center" vertical="center" wrapText="1"/>
    </xf>
    <xf numFmtId="0" fontId="9" fillId="0" borderId="52" xfId="0" applyFont="1" applyBorder="1" applyAlignment="1">
      <alignment vertical="center" wrapText="1"/>
    </xf>
    <xf numFmtId="0" fontId="9" fillId="0" borderId="48" xfId="0" applyFont="1" applyBorder="1" applyAlignment="1">
      <alignment horizontal="center" vertical="center"/>
    </xf>
    <xf numFmtId="0" fontId="9" fillId="0" borderId="53" xfId="0" applyFont="1" applyBorder="1" applyAlignment="1">
      <alignment horizontal="center" vertical="center"/>
    </xf>
    <xf numFmtId="170" fontId="1" fillId="0" borderId="36" xfId="0" applyNumberFormat="1" applyFont="1" applyBorder="1" applyAlignment="1">
      <alignment horizontal="center" vertical="center"/>
    </xf>
    <xf numFmtId="0" fontId="1" fillId="0" borderId="51" xfId="0" applyFont="1" applyBorder="1"/>
    <xf numFmtId="0" fontId="1" fillId="0" borderId="48" xfId="0" applyFont="1" applyBorder="1" applyAlignment="1">
      <alignment horizontal="center" wrapText="1"/>
    </xf>
    <xf numFmtId="0" fontId="1" fillId="0" borderId="53" xfId="0" applyFont="1" applyBorder="1" applyAlignment="1">
      <alignment horizontal="center" wrapText="1"/>
    </xf>
    <xf numFmtId="0" fontId="1" fillId="0" borderId="49" xfId="0" applyFont="1" applyBorder="1" applyAlignment="1">
      <alignment horizontal="center" wrapText="1"/>
    </xf>
    <xf numFmtId="0" fontId="9" fillId="0" borderId="58" xfId="0" applyFont="1" applyBorder="1" applyAlignment="1">
      <alignment horizontal="center" vertical="center"/>
    </xf>
    <xf numFmtId="0" fontId="8" fillId="0" borderId="59" xfId="1" applyBorder="1" applyAlignment="1">
      <alignment vertical="center" wrapText="1"/>
    </xf>
    <xf numFmtId="0" fontId="9" fillId="0" borderId="49" xfId="0" applyFont="1" applyBorder="1" applyAlignment="1">
      <alignment horizontal="center"/>
    </xf>
    <xf numFmtId="0" fontId="9" fillId="0" borderId="56" xfId="0" applyFont="1" applyBorder="1" applyAlignment="1">
      <alignment horizontal="left" vertical="center"/>
    </xf>
    <xf numFmtId="0" fontId="9" fillId="0" borderId="56" xfId="0" applyFont="1" applyBorder="1" applyAlignment="1">
      <alignment horizontal="center" vertical="center" wrapText="1"/>
    </xf>
    <xf numFmtId="0" fontId="8" fillId="0" borderId="56" xfId="1" applyBorder="1" applyAlignment="1">
      <alignment horizontal="center" vertical="center" wrapText="1"/>
    </xf>
    <xf numFmtId="0" fontId="1" fillId="0" borderId="56" xfId="0" applyFont="1" applyBorder="1"/>
    <xf numFmtId="0" fontId="1" fillId="0" borderId="55" xfId="0" applyFont="1" applyBorder="1"/>
    <xf numFmtId="0" fontId="8" fillId="0" borderId="51" xfId="1" applyBorder="1" applyAlignment="1">
      <alignment horizontal="center" vertical="center"/>
    </xf>
    <xf numFmtId="0" fontId="8" fillId="0" borderId="50" xfId="1" applyBorder="1" applyAlignment="1">
      <alignment horizontal="center" vertical="center"/>
    </xf>
    <xf numFmtId="0" fontId="8" fillId="0" borderId="57" xfId="1" applyBorder="1" applyAlignment="1">
      <alignment horizontal="left" vertical="center" wrapText="1"/>
    </xf>
    <xf numFmtId="0" fontId="8" fillId="0" borderId="47" xfId="1" applyBorder="1"/>
    <xf numFmtId="0" fontId="11" fillId="0" borderId="47" xfId="0" applyFont="1" applyBorder="1" applyAlignment="1">
      <alignment vertical="center" wrapText="1"/>
    </xf>
    <xf numFmtId="0" fontId="8" fillId="0" borderId="48" xfId="1" applyBorder="1" applyAlignment="1">
      <alignment horizontal="center" vertical="center" wrapText="1"/>
    </xf>
    <xf numFmtId="0" fontId="8" fillId="0" borderId="49" xfId="1" applyBorder="1" applyAlignment="1">
      <alignment vertical="center" wrapText="1"/>
    </xf>
    <xf numFmtId="0" fontId="9" fillId="0" borderId="56" xfId="0" applyFont="1" applyBorder="1"/>
    <xf numFmtId="0" fontId="11" fillId="0" borderId="60" xfId="0" applyFont="1" applyBorder="1" applyAlignment="1">
      <alignment wrapText="1"/>
    </xf>
  </cellXfs>
  <cellStyles count="2">
    <cellStyle name="Hyperlink" xfId="1"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3147060</xdr:colOff>
      <xdr:row>5</xdr:row>
      <xdr:rowOff>1554480</xdr:rowOff>
    </xdr:to>
    <xdr:sp macro="" textlink="">
      <xdr:nvSpPr>
        <xdr:cNvPr id="1047" name="_x0000_t202" hidden="1">
          <a:extLst>
            <a:ext uri="{FF2B5EF4-FFF2-40B4-BE49-F238E27FC236}">
              <a16:creationId xmlns:a16="http://schemas.microsoft.com/office/drawing/2014/main" id="{960718E4-CA36-C660-CFC2-21966FEB10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396240</xdr:colOff>
      <xdr:row>6</xdr:row>
      <xdr:rowOff>998220</xdr:rowOff>
    </xdr:to>
    <xdr:sp macro="" textlink="">
      <xdr:nvSpPr>
        <xdr:cNvPr id="2070" name="_x0000_t202" hidden="1">
          <a:extLst>
            <a:ext uri="{FF2B5EF4-FFF2-40B4-BE49-F238E27FC236}">
              <a16:creationId xmlns:a16="http://schemas.microsoft.com/office/drawing/2014/main" id="{64164D58-1E6D-62CB-CAC5-32DFFCB698E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pitchbook.com/profiles/company/265141-90" TargetMode="External"/><Relationship Id="rId7" Type="http://schemas.openxmlformats.org/officeDocument/2006/relationships/hyperlink" Target="https://www.isi.fraunhofer.de/en/blog/themen/batterie-update/recycling-lithium-ionen-batterien-europa-kapazitaeten-bedarf-akteure-markt-analyse.html" TargetMode="External"/><Relationship Id="rId2" Type="http://schemas.openxmlformats.org/officeDocument/2006/relationships/hyperlink" Target="https://pitchbook.com/profiles/company/265141-90" TargetMode="External"/><Relationship Id="rId1" Type="http://schemas.openxmlformats.org/officeDocument/2006/relationships/hyperlink" Target="https://www.verve.vc/portfolio/tozero/" TargetMode="External"/><Relationship Id="rId6" Type="http://schemas.openxmlformats.org/officeDocument/2006/relationships/hyperlink" Target="https://alterity.energy/en/about-us/" TargetMode="External"/><Relationship Id="rId5" Type="http://schemas.openxmlformats.org/officeDocument/2006/relationships/hyperlink" Target="https://eneris.com/" TargetMode="External"/><Relationship Id="rId10" Type="http://schemas.openxmlformats.org/officeDocument/2006/relationships/comments" Target="../comments2.xml"/><Relationship Id="rId4" Type="http://schemas.openxmlformats.org/officeDocument/2006/relationships/hyperlink" Target="https://pitchbook.com/profiles/company/265141-90"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
  <sheetViews>
    <sheetView showGridLines="0" workbookViewId="0">
      <pane xSplit="2" ySplit="3" topLeftCell="F4" activePane="bottomRight" state="frozen"/>
      <selection pane="topRight"/>
      <selection pane="bottomLeft"/>
      <selection pane="bottomRight" activeCell="E2" sqref="E2:G2"/>
    </sheetView>
  </sheetViews>
  <sheetFormatPr defaultRowHeight="15" customHeight="1" x14ac:dyDescent="0.3"/>
  <cols>
    <col min="1" max="1" width="4.109375" style="1"/>
    <col min="2" max="2" width="14.109375" style="1"/>
    <col min="3" max="3" width="11.6640625" style="1"/>
    <col min="4" max="4" width="23.6640625" style="1"/>
    <col min="5" max="5" width="11.6640625" style="1"/>
    <col min="6" max="6" width="50" style="1"/>
    <col min="7" max="7" width="21" style="1"/>
    <col min="8" max="8" width="18.5546875" style="1"/>
    <col min="9" max="9" width="36.5546875" style="1"/>
    <col min="10" max="10" width="37.44140625" style="1"/>
    <col min="11" max="11" width="38.109375" style="1"/>
    <col min="12" max="12" width="12.6640625" style="1"/>
    <col min="13" max="13" width="12.33203125" style="1"/>
    <col min="14" max="14" width="12.109375" style="1"/>
    <col min="15" max="15" width="19.33203125" style="1"/>
    <col min="16" max="16" width="12.88671875" style="1"/>
    <col min="17" max="17" width="14.33203125" style="1"/>
    <col min="18" max="18" width="15.44140625" style="1"/>
    <col min="19" max="19" width="17" style="1"/>
    <col min="20" max="21" width="10" style="1"/>
    <col min="22" max="22" width="15.44140625" style="1"/>
    <col min="23" max="23" width="16.33203125" style="1"/>
    <col min="24" max="24" width="109.88671875" style="1"/>
    <col min="25" max="1024" width="10" style="1"/>
    <col min="1025" max="1025" width="12"/>
  </cols>
  <sheetData>
    <row r="1" spans="2:26" ht="14.4" x14ac:dyDescent="0.3">
      <c r="K1" s="2"/>
    </row>
    <row r="2" spans="2:26" s="3" customFormat="1" ht="16.5" customHeight="1" x14ac:dyDescent="0.3">
      <c r="D2" s="4"/>
      <c r="E2" s="142" t="s">
        <v>0</v>
      </c>
      <c r="F2" s="142"/>
      <c r="G2" s="142"/>
      <c r="H2" s="144" t="s">
        <v>1</v>
      </c>
      <c r="I2" s="142" t="s">
        <v>2</v>
      </c>
      <c r="J2" s="142"/>
      <c r="K2" s="145" t="s">
        <v>3</v>
      </c>
      <c r="L2" s="142" t="s">
        <v>4</v>
      </c>
      <c r="M2" s="142"/>
      <c r="N2" s="142"/>
      <c r="O2" s="147" t="s">
        <v>5</v>
      </c>
      <c r="P2" s="147"/>
      <c r="Q2" s="147" t="s">
        <v>6</v>
      </c>
      <c r="R2" s="147"/>
      <c r="S2" s="7" t="s">
        <v>7</v>
      </c>
      <c r="T2" s="147" t="s">
        <v>8</v>
      </c>
      <c r="U2" s="147"/>
      <c r="V2" s="147" t="s">
        <v>9</v>
      </c>
      <c r="W2" s="147"/>
      <c r="X2" s="148" t="s">
        <v>10</v>
      </c>
    </row>
    <row r="3" spans="2:26" s="8" customFormat="1" ht="31.5" customHeight="1" x14ac:dyDescent="0.3">
      <c r="B3" s="9" t="s">
        <v>11</v>
      </c>
      <c r="C3" s="9" t="s">
        <v>12</v>
      </c>
      <c r="D3" s="9" t="s">
        <v>13</v>
      </c>
      <c r="E3" s="6" t="s">
        <v>14</v>
      </c>
      <c r="F3" s="6" t="s">
        <v>15</v>
      </c>
      <c r="G3" s="5" t="s">
        <v>16</v>
      </c>
      <c r="H3" s="144"/>
      <c r="I3" s="6" t="s">
        <v>17</v>
      </c>
      <c r="J3" s="6" t="s">
        <v>18</v>
      </c>
      <c r="K3" s="145"/>
      <c r="L3" s="6" t="s">
        <v>19</v>
      </c>
      <c r="M3" s="6" t="s">
        <v>20</v>
      </c>
      <c r="N3" s="6" t="s">
        <v>21</v>
      </c>
      <c r="O3" s="10" t="s">
        <v>22</v>
      </c>
      <c r="P3" s="10" t="s">
        <v>23</v>
      </c>
      <c r="Q3" s="10" t="s">
        <v>24</v>
      </c>
      <c r="R3" s="10" t="s">
        <v>25</v>
      </c>
      <c r="S3" s="10" t="s">
        <v>26</v>
      </c>
      <c r="T3" s="10" t="s">
        <v>27</v>
      </c>
      <c r="U3" s="10" t="s">
        <v>28</v>
      </c>
      <c r="V3" s="10" t="s">
        <v>29</v>
      </c>
      <c r="W3" s="10" t="s">
        <v>30</v>
      </c>
      <c r="X3" s="148"/>
    </row>
    <row r="4" spans="2:26" ht="249" customHeight="1" x14ac:dyDescent="0.3">
      <c r="B4" s="11" t="s">
        <v>31</v>
      </c>
      <c r="C4" s="12" t="s">
        <v>32</v>
      </c>
      <c r="D4" s="13" t="s">
        <v>33</v>
      </c>
      <c r="E4" s="14" t="s">
        <v>34</v>
      </c>
      <c r="F4" s="13" t="s">
        <v>35</v>
      </c>
      <c r="G4" s="15" t="s">
        <v>36</v>
      </c>
      <c r="H4" s="16" t="s">
        <v>37</v>
      </c>
      <c r="I4" s="17" t="s">
        <v>38</v>
      </c>
      <c r="J4" s="18" t="s">
        <v>39</v>
      </c>
      <c r="K4" s="19">
        <f>AVERAGE(486,560)*10^6/(35*10^3)</f>
        <v>14942.857142857143</v>
      </c>
      <c r="L4" s="20" t="s">
        <v>40</v>
      </c>
      <c r="M4" s="21" t="s">
        <v>41</v>
      </c>
      <c r="N4" s="22" t="s">
        <v>42</v>
      </c>
      <c r="O4" s="23">
        <v>35.4</v>
      </c>
      <c r="P4" s="23">
        <v>49.7</v>
      </c>
      <c r="Q4" s="24">
        <v>0.83560000000000001</v>
      </c>
      <c r="R4" s="24">
        <f t="shared" ref="R4:R7" si="0">(P4-O4)/O4</f>
        <v>0.40395480225988717</v>
      </c>
      <c r="S4" s="24" t="s">
        <v>43</v>
      </c>
      <c r="T4" s="24">
        <v>-2.6779999999999999</v>
      </c>
      <c r="U4" s="24">
        <v>-0.95650000000000002</v>
      </c>
      <c r="V4" s="25">
        <v>-0.41307189542483502</v>
      </c>
      <c r="W4" s="25">
        <v>-0.10631378266233001</v>
      </c>
      <c r="X4" s="26" t="s">
        <v>44</v>
      </c>
      <c r="Z4" s="1" t="s">
        <v>45</v>
      </c>
    </row>
    <row r="5" spans="2:26" s="1" customFormat="1" ht="167.25" customHeight="1" x14ac:dyDescent="0.3">
      <c r="B5" s="11" t="s">
        <v>46</v>
      </c>
      <c r="C5" s="27" t="s">
        <v>47</v>
      </c>
      <c r="D5" s="13" t="s">
        <v>48</v>
      </c>
      <c r="E5" s="14" t="s">
        <v>49</v>
      </c>
      <c r="F5" s="28" t="s">
        <v>50</v>
      </c>
      <c r="G5" s="15" t="s">
        <v>51</v>
      </c>
      <c r="H5" s="16" t="s">
        <v>52</v>
      </c>
      <c r="I5" s="17" t="s">
        <v>53</v>
      </c>
      <c r="J5" s="18" t="s">
        <v>54</v>
      </c>
      <c r="K5" s="28" t="s">
        <v>55</v>
      </c>
      <c r="L5" s="29">
        <v>0.95</v>
      </c>
      <c r="M5" s="30">
        <v>0.95</v>
      </c>
      <c r="N5" s="31">
        <v>0.7</v>
      </c>
      <c r="O5" s="23">
        <v>4586.55</v>
      </c>
      <c r="P5" s="23">
        <v>4618.34</v>
      </c>
      <c r="Q5" s="24">
        <v>9.6000000000000002E-2</v>
      </c>
      <c r="R5" s="24">
        <f t="shared" si="0"/>
        <v>6.9311356030131496E-3</v>
      </c>
      <c r="S5" s="24">
        <v>0.40112502861628002</v>
      </c>
      <c r="T5" s="24">
        <v>0.20817826034819201</v>
      </c>
      <c r="U5" s="24">
        <v>0.25192527239224399</v>
      </c>
      <c r="V5" s="25">
        <v>0.35479471906479998</v>
      </c>
      <c r="W5" s="25">
        <v>9.1249832756742297E-2</v>
      </c>
      <c r="X5" s="26" t="s">
        <v>56</v>
      </c>
    </row>
    <row r="6" spans="2:26" s="1" customFormat="1" ht="167.25" customHeight="1" x14ac:dyDescent="0.3">
      <c r="B6" s="11" t="s">
        <v>57</v>
      </c>
      <c r="C6" s="27" t="s">
        <v>58</v>
      </c>
      <c r="D6" s="13" t="s">
        <v>59</v>
      </c>
      <c r="E6" s="14" t="s">
        <v>60</v>
      </c>
      <c r="F6" s="28" t="s">
        <v>61</v>
      </c>
      <c r="G6" s="15" t="s">
        <v>62</v>
      </c>
      <c r="H6" s="16" t="s">
        <v>63</v>
      </c>
      <c r="I6" s="32" t="s">
        <v>64</v>
      </c>
      <c r="J6" s="33" t="s">
        <v>65</v>
      </c>
      <c r="K6" s="34">
        <f>278.9*10^6/30000</f>
        <v>9296.6666666666661</v>
      </c>
      <c r="L6" s="35" t="s">
        <v>66</v>
      </c>
      <c r="M6" s="30" t="s">
        <v>67</v>
      </c>
      <c r="N6" s="31">
        <v>0.9</v>
      </c>
      <c r="O6" s="23">
        <v>4009.4</v>
      </c>
      <c r="P6" s="23">
        <v>5041.2700000000004</v>
      </c>
      <c r="Q6" s="24">
        <v>0.6623</v>
      </c>
      <c r="R6" s="24">
        <f t="shared" si="0"/>
        <v>0.25736269766049791</v>
      </c>
      <c r="S6" s="24">
        <v>0.14099999999999999</v>
      </c>
      <c r="T6" s="24">
        <v>0.1</v>
      </c>
      <c r="U6" s="24">
        <v>0.125990883571927</v>
      </c>
      <c r="V6" s="25">
        <v>0.22946686910934799</v>
      </c>
      <c r="W6" s="25">
        <v>8.6529113103597205E-2</v>
      </c>
      <c r="X6" s="26" t="s">
        <v>68</v>
      </c>
    </row>
    <row r="7" spans="2:26" s="1" customFormat="1" ht="117" customHeight="1" x14ac:dyDescent="0.3">
      <c r="B7" s="149" t="s">
        <v>69</v>
      </c>
      <c r="C7" s="150" t="s">
        <v>70</v>
      </c>
      <c r="D7" s="113" t="s">
        <v>71</v>
      </c>
      <c r="E7" s="153" t="s">
        <v>72</v>
      </c>
      <c r="F7" s="101" t="s">
        <v>73</v>
      </c>
      <c r="G7" s="104" t="s">
        <v>74</v>
      </c>
      <c r="H7" s="107" t="s">
        <v>75</v>
      </c>
      <c r="I7" s="110" t="s">
        <v>76</v>
      </c>
      <c r="J7" s="113" t="s">
        <v>77</v>
      </c>
      <c r="K7" s="36" t="s">
        <v>78</v>
      </c>
      <c r="L7" s="116">
        <v>0.95</v>
      </c>
      <c r="M7" s="119">
        <v>0.95</v>
      </c>
      <c r="N7" s="122" t="s">
        <v>79</v>
      </c>
      <c r="O7" s="125">
        <v>201.2</v>
      </c>
      <c r="P7" s="125">
        <v>201.45</v>
      </c>
      <c r="Q7" s="128">
        <v>0.83289999999999997</v>
      </c>
      <c r="R7" s="128">
        <f t="shared" si="0"/>
        <v>1.242544731610338E-3</v>
      </c>
      <c r="S7" s="128">
        <v>0.254</v>
      </c>
      <c r="T7" s="128">
        <v>0.215</v>
      </c>
      <c r="U7" s="128">
        <v>0.18938395140752601</v>
      </c>
      <c r="V7" s="131">
        <v>0.43423757709472</v>
      </c>
      <c r="W7" s="131">
        <v>0.18732424832359901</v>
      </c>
      <c r="X7" s="134" t="s">
        <v>80</v>
      </c>
    </row>
    <row r="8" spans="2:26" s="1" customFormat="1" ht="14.4" x14ac:dyDescent="0.3">
      <c r="B8" s="135"/>
      <c r="C8" s="151"/>
      <c r="D8" s="114"/>
      <c r="E8" s="154"/>
      <c r="F8" s="102"/>
      <c r="G8" s="105"/>
      <c r="H8" s="108"/>
      <c r="I8" s="111"/>
      <c r="J8" s="114"/>
      <c r="K8" s="37">
        <f>AVERAGE(23.06,18.45)*10^6/(5*10^3)</f>
        <v>4151</v>
      </c>
      <c r="L8" s="117"/>
      <c r="M8" s="120"/>
      <c r="N8" s="123"/>
      <c r="O8" s="126"/>
      <c r="P8" s="126"/>
      <c r="Q8" s="129"/>
      <c r="R8" s="129"/>
      <c r="S8" s="129"/>
      <c r="T8" s="129"/>
      <c r="U8" s="129"/>
      <c r="V8" s="132"/>
      <c r="W8" s="132"/>
      <c r="X8" s="135"/>
    </row>
    <row r="9" spans="2:26" s="1" customFormat="1" ht="14.4" x14ac:dyDescent="0.3">
      <c r="B9" s="135"/>
      <c r="C9" s="151"/>
      <c r="D9" s="114"/>
      <c r="E9" s="154"/>
      <c r="F9" s="102"/>
      <c r="G9" s="105"/>
      <c r="H9" s="108"/>
      <c r="I9" s="111"/>
      <c r="J9" s="114"/>
      <c r="K9" s="36" t="s">
        <v>81</v>
      </c>
      <c r="L9" s="117"/>
      <c r="M9" s="120"/>
      <c r="N9" s="123"/>
      <c r="O9" s="126"/>
      <c r="P9" s="126"/>
      <c r="Q9" s="129"/>
      <c r="R9" s="129"/>
      <c r="S9" s="129"/>
      <c r="T9" s="129"/>
      <c r="U9" s="129"/>
      <c r="V9" s="132"/>
      <c r="W9" s="132"/>
      <c r="X9" s="135"/>
    </row>
    <row r="10" spans="2:26" s="1" customFormat="1" ht="14.4" x14ac:dyDescent="0.3">
      <c r="B10" s="136"/>
      <c r="C10" s="152"/>
      <c r="D10" s="115"/>
      <c r="E10" s="155"/>
      <c r="F10" s="103"/>
      <c r="G10" s="106"/>
      <c r="H10" s="109"/>
      <c r="I10" s="112"/>
      <c r="J10" s="115"/>
      <c r="K10" s="38">
        <f>114.53*10^6/(25*10^3)</f>
        <v>4581.2</v>
      </c>
      <c r="L10" s="118"/>
      <c r="M10" s="121"/>
      <c r="N10" s="124"/>
      <c r="O10" s="127"/>
      <c r="P10" s="127"/>
      <c r="Q10" s="130"/>
      <c r="R10" s="130"/>
      <c r="S10" s="130"/>
      <c r="T10" s="130"/>
      <c r="U10" s="130"/>
      <c r="V10" s="133"/>
      <c r="W10" s="133"/>
      <c r="X10" s="136"/>
    </row>
    <row r="12" spans="2:26" ht="14.4" x14ac:dyDescent="0.3">
      <c r="J12" s="137" t="s">
        <v>82</v>
      </c>
      <c r="K12" s="39" t="s">
        <v>83</v>
      </c>
      <c r="L12" s="138">
        <f>AVERAGE(L7,L6,L5,L4)</f>
        <v>0.95</v>
      </c>
      <c r="M12" s="138">
        <f>AVERAGE(M7,M6,M5,M4)</f>
        <v>0.95</v>
      </c>
      <c r="N12" s="138">
        <f>AVERAGE(N7,N6,N5,N4)</f>
        <v>0.8</v>
      </c>
      <c r="O12" s="140"/>
      <c r="P12" s="140"/>
      <c r="Q12" s="143">
        <f>AVERAGE(Q4:Q10)</f>
        <v>0.60670000000000002</v>
      </c>
      <c r="R12" s="143">
        <f>AVERAGE(R4:R10)</f>
        <v>0.16737279506375216</v>
      </c>
      <c r="S12" s="143">
        <f>AVERAGE(S4:S10)</f>
        <v>0.26537500953875998</v>
      </c>
      <c r="T12" s="143">
        <f>AVERAGE(T5:T10)</f>
        <v>0.17439275344939734</v>
      </c>
      <c r="U12" s="143">
        <f>AVERAGE(U5:U10)</f>
        <v>0.18910003579056567</v>
      </c>
      <c r="V12" s="146">
        <f>AVERAGE(V4:V10)</f>
        <v>0.15135681746100824</v>
      </c>
      <c r="W12" s="146">
        <f>AVERAGE(W4:W10)</f>
        <v>6.4697352880402126E-2</v>
      </c>
    </row>
    <row r="13" spans="2:26" ht="14.4" x14ac:dyDescent="0.3">
      <c r="J13" s="137"/>
      <c r="K13" s="40">
        <f>AVERAGE(K8)</f>
        <v>4151</v>
      </c>
      <c r="L13" s="139"/>
      <c r="M13" s="139"/>
      <c r="N13" s="139"/>
      <c r="O13" s="141"/>
      <c r="P13" s="141"/>
      <c r="Q13" s="143"/>
      <c r="R13" s="143"/>
      <c r="S13" s="143"/>
      <c r="T13" s="143"/>
      <c r="U13" s="143"/>
      <c r="V13" s="146"/>
      <c r="W13" s="146"/>
    </row>
    <row r="14" spans="2:26" ht="14.4" x14ac:dyDescent="0.3">
      <c r="J14" s="137"/>
      <c r="K14" s="41"/>
      <c r="L14" s="139"/>
      <c r="M14" s="139"/>
      <c r="N14" s="139"/>
      <c r="O14" s="141"/>
      <c r="P14" s="141"/>
      <c r="Q14" s="143"/>
      <c r="R14" s="143"/>
      <c r="S14" s="143"/>
      <c r="T14" s="143"/>
      <c r="U14" s="143"/>
      <c r="V14" s="146"/>
      <c r="W14" s="146"/>
    </row>
    <row r="15" spans="2:26" ht="14.4" x14ac:dyDescent="0.3">
      <c r="J15" s="137"/>
      <c r="K15" s="39" t="s">
        <v>84</v>
      </c>
      <c r="L15" s="139"/>
      <c r="M15" s="139"/>
      <c r="N15" s="139"/>
      <c r="O15" s="141"/>
      <c r="P15" s="141"/>
      <c r="Q15" s="143"/>
      <c r="R15" s="143"/>
      <c r="S15" s="143"/>
      <c r="T15" s="143"/>
      <c r="U15" s="143"/>
      <c r="V15" s="146"/>
      <c r="W15" s="146"/>
    </row>
    <row r="16" spans="2:26" ht="14.4" x14ac:dyDescent="0.3">
      <c r="J16" s="137"/>
      <c r="K16" s="40">
        <f>AVERAGE(K10,K6,35000)</f>
        <v>16292.622222222222</v>
      </c>
      <c r="L16" s="139"/>
      <c r="M16" s="139"/>
      <c r="N16" s="139"/>
      <c r="O16" s="141"/>
      <c r="P16" s="141"/>
      <c r="Q16" s="143"/>
      <c r="R16" s="143"/>
      <c r="S16" s="143"/>
      <c r="T16" s="143"/>
      <c r="U16" s="143"/>
      <c r="V16" s="146"/>
      <c r="W16" s="146"/>
    </row>
    <row r="18" spans="2:24" s="1" customFormat="1" ht="187.2" x14ac:dyDescent="0.3">
      <c r="B18" s="42" t="s">
        <v>85</v>
      </c>
      <c r="C18" s="43" t="s">
        <v>86</v>
      </c>
      <c r="D18" s="44" t="s">
        <v>87</v>
      </c>
      <c r="E18" s="45" t="s">
        <v>88</v>
      </c>
      <c r="F18" s="46" t="s">
        <v>89</v>
      </c>
      <c r="G18" s="47" t="s">
        <v>90</v>
      </c>
      <c r="H18" s="48" t="s">
        <v>91</v>
      </c>
      <c r="I18" s="49" t="s">
        <v>92</v>
      </c>
      <c r="J18" s="50" t="s">
        <v>93</v>
      </c>
      <c r="K18" s="51" t="s">
        <v>94</v>
      </c>
      <c r="L18" s="52" t="s">
        <v>95</v>
      </c>
      <c r="M18" s="53" t="s">
        <v>96</v>
      </c>
      <c r="N18" s="54" t="s">
        <v>97</v>
      </c>
      <c r="O18" s="55" t="s">
        <v>98</v>
      </c>
      <c r="P18" s="56">
        <f>37.0922926829268*2.5</f>
        <v>92.730731707316991</v>
      </c>
      <c r="Q18" s="57">
        <v>1.86886247877759</v>
      </c>
      <c r="R18" s="57">
        <v>1.5</v>
      </c>
      <c r="S18" s="57">
        <v>0.34487737903607601</v>
      </c>
      <c r="T18" s="57">
        <v>0.191736588833786</v>
      </c>
      <c r="U18" s="57">
        <v>0.21261473864956701</v>
      </c>
      <c r="V18" s="58">
        <v>1.55249880011553</v>
      </c>
      <c r="W18" s="58" t="s">
        <v>99</v>
      </c>
      <c r="X18" s="59"/>
    </row>
    <row r="20" spans="2:24" ht="14.4" x14ac:dyDescent="0.3">
      <c r="G20" s="1">
        <f>20*1500</f>
        <v>30000</v>
      </c>
      <c r="I20" s="1" t="s">
        <v>100</v>
      </c>
    </row>
    <row r="21" spans="2:24" ht="14.4" x14ac:dyDescent="0.3">
      <c r="G21" s="1">
        <f>G20*4000/10^6</f>
        <v>120</v>
      </c>
    </row>
  </sheetData>
  <mergeCells count="45">
    <mergeCell ref="T2:U2"/>
    <mergeCell ref="V2:W2"/>
    <mergeCell ref="X2:X3"/>
    <mergeCell ref="B7:B10"/>
    <mergeCell ref="C7:C10"/>
    <mergeCell ref="D7:D10"/>
    <mergeCell ref="E7:E10"/>
    <mergeCell ref="E2:G2"/>
    <mergeCell ref="P12:P16"/>
    <mergeCell ref="Q12:Q16"/>
    <mergeCell ref="H2:H3"/>
    <mergeCell ref="R12:R16"/>
    <mergeCell ref="I2:J2"/>
    <mergeCell ref="K2:K3"/>
    <mergeCell ref="L2:N2"/>
    <mergeCell ref="O2:P2"/>
    <mergeCell ref="Q2:R2"/>
    <mergeCell ref="V7:V10"/>
    <mergeCell ref="W7:W10"/>
    <mergeCell ref="X7:X10"/>
    <mergeCell ref="J12:J16"/>
    <mergeCell ref="L12:L16"/>
    <mergeCell ref="M12:M16"/>
    <mergeCell ref="N12:N16"/>
    <mergeCell ref="O12:O16"/>
    <mergeCell ref="S12:S16"/>
    <mergeCell ref="T12:T16"/>
    <mergeCell ref="U12:U16"/>
    <mergeCell ref="V12:V16"/>
    <mergeCell ref="W12:W16"/>
    <mergeCell ref="Q7:Q10"/>
    <mergeCell ref="R7:R10"/>
    <mergeCell ref="S7:S10"/>
    <mergeCell ref="T7:T10"/>
    <mergeCell ref="U7:U10"/>
    <mergeCell ref="L7:L10"/>
    <mergeCell ref="M7:M10"/>
    <mergeCell ref="N7:N10"/>
    <mergeCell ref="O7:O10"/>
    <mergeCell ref="P7:P10"/>
    <mergeCell ref="F7:F10"/>
    <mergeCell ref="G7:G10"/>
    <mergeCell ref="H7:H10"/>
    <mergeCell ref="I7:I10"/>
    <mergeCell ref="J7:J10"/>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J16"/>
  <sheetViews>
    <sheetView showGridLines="0" tabSelected="1" zoomScale="70" zoomScaleNormal="70" workbookViewId="0">
      <pane xSplit="2" ySplit="3" topLeftCell="C9" activePane="bottomRight" state="frozen"/>
      <selection pane="topRight"/>
      <selection pane="bottomLeft"/>
      <selection pane="bottomRight" activeCell="J12" sqref="J12"/>
    </sheetView>
  </sheetViews>
  <sheetFormatPr defaultRowHeight="15" customHeight="1" x14ac:dyDescent="0.3"/>
  <cols>
    <col min="1" max="1" width="4.109375" style="1"/>
    <col min="2" max="2" width="13.33203125" style="1"/>
    <col min="3" max="3" width="11.6640625" style="1"/>
    <col min="4" max="4" width="17" style="1"/>
    <col min="5" max="5" width="10.6640625" style="1"/>
    <col min="6" max="6" width="16.109375" style="1"/>
    <col min="7" max="7" width="32.44140625" style="1"/>
    <col min="8" max="8" width="23.33203125" style="1"/>
    <col min="9" max="9" width="23.44140625" style="1"/>
    <col min="10" max="10" width="42.44140625" style="1"/>
    <col min="11" max="11" width="23.5546875" style="1"/>
    <col min="12" max="12" width="12.6640625" style="1"/>
    <col min="13" max="13" width="12.109375" style="1"/>
    <col min="14" max="14" width="11.6640625" style="1"/>
    <col min="15" max="15" width="22.33203125" style="1"/>
    <col min="16" max="19" width="17.44140625" style="1"/>
    <col min="20" max="20" width="105" style="1"/>
    <col min="21" max="1024" width="10" style="1"/>
    <col min="1025" max="1025" width="12"/>
  </cols>
  <sheetData>
    <row r="2" spans="2:20" s="3" customFormat="1" ht="14.4" x14ac:dyDescent="0.3">
      <c r="E2" s="187" t="s">
        <v>101</v>
      </c>
      <c r="F2" s="187"/>
      <c r="G2" s="142"/>
      <c r="H2" s="144" t="s">
        <v>102</v>
      </c>
      <c r="I2" s="187" t="s">
        <v>103</v>
      </c>
      <c r="J2" s="187"/>
      <c r="K2" s="145" t="s">
        <v>104</v>
      </c>
      <c r="L2" s="142" t="s">
        <v>105</v>
      </c>
      <c r="M2" s="142"/>
      <c r="N2" s="187"/>
      <c r="O2" s="206" t="s">
        <v>106</v>
      </c>
      <c r="P2" s="207"/>
      <c r="Q2" s="207"/>
      <c r="R2" s="207"/>
      <c r="S2" s="208"/>
      <c r="T2" s="60" t="s">
        <v>107</v>
      </c>
    </row>
    <row r="3" spans="2:20" s="8" customFormat="1" ht="31.5" customHeight="1" x14ac:dyDescent="0.3">
      <c r="B3" s="9" t="s">
        <v>108</v>
      </c>
      <c r="C3" s="9" t="s">
        <v>109</v>
      </c>
      <c r="D3" s="9" t="s">
        <v>110</v>
      </c>
      <c r="E3" s="6" t="s">
        <v>111</v>
      </c>
      <c r="F3" s="6" t="s">
        <v>112</v>
      </c>
      <c r="G3" s="6" t="s">
        <v>113</v>
      </c>
      <c r="H3" s="144"/>
      <c r="I3" s="6" t="s">
        <v>114</v>
      </c>
      <c r="J3" s="6" t="s">
        <v>115</v>
      </c>
      <c r="K3" s="145"/>
      <c r="L3" s="6" t="s">
        <v>116</v>
      </c>
      <c r="M3" s="6" t="s">
        <v>117</v>
      </c>
      <c r="N3" s="61" t="s">
        <v>118</v>
      </c>
      <c r="O3" s="62" t="s">
        <v>119</v>
      </c>
      <c r="P3" s="63" t="s">
        <v>120</v>
      </c>
      <c r="Q3" s="63" t="s">
        <v>121</v>
      </c>
      <c r="R3" s="63" t="s">
        <v>122</v>
      </c>
      <c r="S3" s="64" t="s">
        <v>123</v>
      </c>
      <c r="T3" s="65"/>
    </row>
    <row r="4" spans="2:20" s="1" customFormat="1" ht="210" customHeight="1" x14ac:dyDescent="0.3">
      <c r="B4" s="162" t="s">
        <v>124</v>
      </c>
      <c r="C4" s="166" t="s">
        <v>125</v>
      </c>
      <c r="D4" s="173" t="s">
        <v>126</v>
      </c>
      <c r="E4" s="175" t="s">
        <v>127</v>
      </c>
      <c r="F4" s="183" t="s">
        <v>128</v>
      </c>
      <c r="G4" s="188" t="s">
        <v>129</v>
      </c>
      <c r="H4" s="190" t="s">
        <v>130</v>
      </c>
      <c r="I4" s="191" t="s">
        <v>131</v>
      </c>
      <c r="J4" s="194" t="s">
        <v>132</v>
      </c>
      <c r="K4" s="197">
        <f>3.5*10^9/(100*5000)</f>
        <v>7000</v>
      </c>
      <c r="L4" s="199">
        <v>0.95</v>
      </c>
      <c r="M4" s="201">
        <v>0.95</v>
      </c>
      <c r="N4" s="203">
        <v>0.95</v>
      </c>
      <c r="O4" s="67" t="s">
        <v>133</v>
      </c>
      <c r="P4" s="68">
        <v>2000</v>
      </c>
      <c r="Q4" s="69" t="s">
        <v>134</v>
      </c>
      <c r="R4" s="70" t="s">
        <v>135</v>
      </c>
      <c r="S4" s="71" t="s">
        <v>136</v>
      </c>
      <c r="T4" s="209" t="s">
        <v>137</v>
      </c>
    </row>
    <row r="5" spans="2:20" s="1" customFormat="1" ht="115.2" x14ac:dyDescent="0.3">
      <c r="B5" s="163"/>
      <c r="C5" s="167"/>
      <c r="D5" s="174"/>
      <c r="E5" s="176"/>
      <c r="F5" s="184"/>
      <c r="G5" s="189"/>
      <c r="H5" s="167"/>
      <c r="I5" s="192"/>
      <c r="J5" s="195"/>
      <c r="K5" s="198"/>
      <c r="L5" s="200"/>
      <c r="M5" s="202"/>
      <c r="N5" s="163"/>
      <c r="O5" s="74" t="s">
        <v>138</v>
      </c>
      <c r="P5" s="75">
        <v>750</v>
      </c>
      <c r="Q5" s="75">
        <v>3750</v>
      </c>
      <c r="R5" s="75"/>
      <c r="S5" s="76" t="s">
        <v>139</v>
      </c>
      <c r="T5" s="210"/>
    </row>
    <row r="6" spans="2:20" s="1" customFormat="1" ht="135.75" customHeight="1" x14ac:dyDescent="0.3">
      <c r="B6" s="158" t="s">
        <v>140</v>
      </c>
      <c r="C6" s="158" t="s">
        <v>141</v>
      </c>
      <c r="D6" s="156" t="s">
        <v>142</v>
      </c>
      <c r="E6" s="168" t="s">
        <v>143</v>
      </c>
      <c r="F6" s="172" t="s">
        <v>144</v>
      </c>
      <c r="G6" s="177" t="s">
        <v>145</v>
      </c>
      <c r="H6" s="158" t="s">
        <v>146</v>
      </c>
      <c r="I6" s="179" t="s">
        <v>147</v>
      </c>
      <c r="J6" s="181" t="s">
        <v>148</v>
      </c>
      <c r="K6" s="158" t="s">
        <v>149</v>
      </c>
      <c r="L6" s="79"/>
      <c r="M6" s="80"/>
      <c r="N6" s="81"/>
      <c r="O6" s="82" t="s">
        <v>150</v>
      </c>
      <c r="P6" s="2">
        <v>1100</v>
      </c>
      <c r="Q6" s="2"/>
      <c r="R6" s="2">
        <v>7700</v>
      </c>
      <c r="S6" s="83" t="s">
        <v>151</v>
      </c>
      <c r="T6" s="209" t="s">
        <v>152</v>
      </c>
    </row>
    <row r="7" spans="2:20" s="1" customFormat="1" ht="98.25" customHeight="1" x14ac:dyDescent="0.3">
      <c r="B7" s="159"/>
      <c r="C7" s="159"/>
      <c r="D7" s="157"/>
      <c r="E7" s="169"/>
      <c r="F7" s="103"/>
      <c r="G7" s="178"/>
      <c r="H7" s="159"/>
      <c r="I7" s="180"/>
      <c r="J7" s="182"/>
      <c r="K7" s="159"/>
      <c r="L7" s="84" t="s">
        <v>153</v>
      </c>
      <c r="M7" s="85" t="s">
        <v>154</v>
      </c>
      <c r="N7" s="86" t="s">
        <v>155</v>
      </c>
      <c r="O7" s="82" t="s">
        <v>156</v>
      </c>
      <c r="P7" s="2">
        <v>2750</v>
      </c>
      <c r="Q7" s="2">
        <v>12000</v>
      </c>
      <c r="R7" s="2"/>
      <c r="S7" s="87" t="s">
        <v>157</v>
      </c>
      <c r="T7" s="210"/>
    </row>
    <row r="8" spans="2:20" s="1" customFormat="1" ht="102" customHeight="1" x14ac:dyDescent="0.3">
      <c r="B8" s="156" t="s">
        <v>158</v>
      </c>
      <c r="C8" s="158" t="s">
        <v>159</v>
      </c>
      <c r="D8" s="156" t="s">
        <v>160</v>
      </c>
      <c r="E8" s="160" t="s">
        <v>161</v>
      </c>
      <c r="F8" s="164" t="s">
        <v>162</v>
      </c>
      <c r="G8" s="170" t="s">
        <v>163</v>
      </c>
      <c r="H8" s="158" t="s">
        <v>164</v>
      </c>
      <c r="I8" s="179" t="s">
        <v>165</v>
      </c>
      <c r="J8" s="181" t="s">
        <v>166</v>
      </c>
      <c r="K8" s="185">
        <f>50*10^6/(30000/4)</f>
        <v>6666.666666666667</v>
      </c>
      <c r="L8" s="168" t="s">
        <v>167</v>
      </c>
      <c r="M8" s="193" t="s">
        <v>168</v>
      </c>
      <c r="N8" s="196" t="s">
        <v>169</v>
      </c>
      <c r="O8" s="90" t="s">
        <v>170</v>
      </c>
      <c r="P8" s="91">
        <v>301</v>
      </c>
      <c r="Q8" s="92" t="s">
        <v>171</v>
      </c>
      <c r="R8" s="80"/>
      <c r="S8" s="93" t="s">
        <v>172</v>
      </c>
      <c r="T8" s="204" t="s">
        <v>173</v>
      </c>
    </row>
    <row r="9" spans="2:20" s="1" customFormat="1" ht="14.4" x14ac:dyDescent="0.3">
      <c r="B9" s="157"/>
      <c r="C9" s="159"/>
      <c r="D9" s="157"/>
      <c r="E9" s="161"/>
      <c r="F9" s="165"/>
      <c r="G9" s="171"/>
      <c r="H9" s="159"/>
      <c r="I9" s="180"/>
      <c r="J9" s="182"/>
      <c r="K9" s="186"/>
      <c r="L9" s="161"/>
      <c r="M9" s="165"/>
      <c r="N9" s="171"/>
      <c r="O9" s="94" t="s">
        <v>174</v>
      </c>
      <c r="P9" s="73"/>
      <c r="Q9" s="72"/>
      <c r="R9" s="95"/>
      <c r="S9" s="96"/>
      <c r="T9" s="205"/>
    </row>
    <row r="10" spans="2:20" s="1" customFormat="1" ht="72" x14ac:dyDescent="0.3">
      <c r="B10" s="211" t="s">
        <v>175</v>
      </c>
      <c r="C10" s="77" t="s">
        <v>176</v>
      </c>
      <c r="D10" s="212" t="s">
        <v>177</v>
      </c>
      <c r="E10" s="78" t="s">
        <v>178</v>
      </c>
      <c r="F10" s="88" t="s">
        <v>179</v>
      </c>
      <c r="G10" s="89" t="s">
        <v>180</v>
      </c>
      <c r="H10" s="77" t="s">
        <v>181</v>
      </c>
      <c r="I10" s="97" t="s">
        <v>182</v>
      </c>
      <c r="J10" s="98" t="s">
        <v>183</v>
      </c>
      <c r="K10" s="235">
        <f>300*10^6/((500*10^3/(60*10^3))*6*5000/2)</f>
        <v>2400</v>
      </c>
      <c r="L10" s="97" t="s">
        <v>184</v>
      </c>
      <c r="M10" s="99" t="s">
        <v>185</v>
      </c>
      <c r="N10" s="98" t="s">
        <v>186</v>
      </c>
      <c r="O10" s="227" t="s">
        <v>187</v>
      </c>
      <c r="P10" s="92">
        <v>295</v>
      </c>
      <c r="Q10" s="92" t="s">
        <v>188</v>
      </c>
      <c r="R10" s="228" t="s">
        <v>189</v>
      </c>
      <c r="S10" s="229" t="s">
        <v>190</v>
      </c>
      <c r="T10" s="100" t="s">
        <v>191</v>
      </c>
    </row>
    <row r="11" spans="2:20" ht="88.2" customHeight="1" x14ac:dyDescent="0.3">
      <c r="B11" s="213" t="s">
        <v>192</v>
      </c>
      <c r="C11" s="213" t="s">
        <v>193</v>
      </c>
      <c r="D11" s="216" t="s">
        <v>194</v>
      </c>
      <c r="E11" s="221" t="s">
        <v>34</v>
      </c>
      <c r="F11" s="224" t="s">
        <v>36</v>
      </c>
      <c r="G11" s="224" t="s">
        <v>34</v>
      </c>
      <c r="H11" s="213"/>
      <c r="I11" s="240"/>
      <c r="J11" s="241" t="s">
        <v>195</v>
      </c>
      <c r="K11" s="213"/>
      <c r="O11" s="230" t="s">
        <v>196</v>
      </c>
      <c r="P11" s="218"/>
      <c r="Q11" s="218"/>
      <c r="R11" s="231" t="s">
        <v>202</v>
      </c>
      <c r="S11" s="232" t="s">
        <v>197</v>
      </c>
      <c r="T11" s="256" t="s">
        <v>215</v>
      </c>
    </row>
    <row r="12" spans="2:20" ht="120" customHeight="1" x14ac:dyDescent="0.3">
      <c r="B12" s="214" t="s">
        <v>198</v>
      </c>
      <c r="C12" s="214" t="s">
        <v>193</v>
      </c>
      <c r="D12" s="223" t="s">
        <v>194</v>
      </c>
      <c r="E12" s="225" t="s">
        <v>34</v>
      </c>
      <c r="F12" s="222" t="s">
        <v>34</v>
      </c>
      <c r="G12" s="222" t="s">
        <v>34</v>
      </c>
      <c r="H12" s="214" t="s">
        <v>36</v>
      </c>
      <c r="I12" s="253" t="s">
        <v>214</v>
      </c>
      <c r="J12" s="254"/>
      <c r="K12" s="213"/>
      <c r="L12" s="216"/>
      <c r="M12" s="220"/>
      <c r="N12" s="217"/>
      <c r="O12" s="233" t="s">
        <v>200</v>
      </c>
      <c r="P12" s="220"/>
      <c r="Q12" s="220"/>
      <c r="R12" s="234" t="s">
        <v>201</v>
      </c>
      <c r="S12" s="217"/>
      <c r="T12" s="252" t="s">
        <v>199</v>
      </c>
    </row>
    <row r="13" spans="2:20" ht="98.4" customHeight="1" x14ac:dyDescent="0.3">
      <c r="B13" s="243" t="s">
        <v>204</v>
      </c>
      <c r="C13" s="244" t="s">
        <v>203</v>
      </c>
      <c r="D13" s="245" t="s">
        <v>205</v>
      </c>
      <c r="E13" s="221" t="s">
        <v>34</v>
      </c>
      <c r="F13" s="218"/>
      <c r="G13" s="218"/>
      <c r="H13" s="255" t="s">
        <v>36</v>
      </c>
      <c r="I13" s="247"/>
      <c r="J13" s="226"/>
      <c r="K13" s="246"/>
      <c r="L13" s="236"/>
      <c r="M13" s="218"/>
      <c r="N13" s="219"/>
      <c r="O13" s="248" t="s">
        <v>206</v>
      </c>
      <c r="P13" s="218"/>
      <c r="Q13" s="218"/>
      <c r="R13" s="249" t="s">
        <v>207</v>
      </c>
      <c r="S13" s="219"/>
      <c r="T13" s="250" t="s">
        <v>208</v>
      </c>
    </row>
    <row r="14" spans="2:20" ht="56.4" customHeight="1" x14ac:dyDescent="0.3">
      <c r="B14" s="214" t="s">
        <v>209</v>
      </c>
      <c r="C14" s="214" t="s">
        <v>211</v>
      </c>
      <c r="D14" s="215" t="s">
        <v>210</v>
      </c>
      <c r="E14" s="220"/>
      <c r="F14" s="220"/>
      <c r="G14" s="220"/>
      <c r="H14" s="213"/>
      <c r="I14" s="225" t="s">
        <v>213</v>
      </c>
      <c r="J14" s="242" t="s">
        <v>213</v>
      </c>
      <c r="K14" s="220"/>
      <c r="L14" s="237" t="s">
        <v>40</v>
      </c>
      <c r="M14" s="238" t="s">
        <v>40</v>
      </c>
      <c r="N14" s="239" t="s">
        <v>40</v>
      </c>
      <c r="O14" s="220"/>
      <c r="P14" s="220"/>
      <c r="Q14" s="220"/>
      <c r="R14" s="220"/>
      <c r="S14" s="220"/>
      <c r="T14" s="251" t="s">
        <v>212</v>
      </c>
    </row>
    <row r="15" spans="2:20" ht="15" customHeight="1" x14ac:dyDescent="0.3">
      <c r="D15" s="66"/>
    </row>
    <row r="16" spans="2:20" ht="15" customHeight="1" x14ac:dyDescent="0.3">
      <c r="D16" s="66"/>
    </row>
  </sheetData>
  <mergeCells count="45">
    <mergeCell ref="T8:T9"/>
    <mergeCell ref="O2:S2"/>
    <mergeCell ref="T6:T7"/>
    <mergeCell ref="T4:T5"/>
    <mergeCell ref="M8:M9"/>
    <mergeCell ref="J4:J5"/>
    <mergeCell ref="H2:H3"/>
    <mergeCell ref="N8:N9"/>
    <mergeCell ref="K4:K5"/>
    <mergeCell ref="I2:J2"/>
    <mergeCell ref="L4:L5"/>
    <mergeCell ref="M4:M5"/>
    <mergeCell ref="K2:K3"/>
    <mergeCell ref="N4:N5"/>
    <mergeCell ref="L2:N2"/>
    <mergeCell ref="K8:K9"/>
    <mergeCell ref="E2:G2"/>
    <mergeCell ref="G4:G5"/>
    <mergeCell ref="H4:H5"/>
    <mergeCell ref="L8:L9"/>
    <mergeCell ref="J6:J7"/>
    <mergeCell ref="K6:K7"/>
    <mergeCell ref="I4:I5"/>
    <mergeCell ref="I8:I9"/>
    <mergeCell ref="H6:H7"/>
    <mergeCell ref="J8:J9"/>
    <mergeCell ref="F4:F5"/>
    <mergeCell ref="I6:I7"/>
    <mergeCell ref="G8:G9"/>
    <mergeCell ref="F6:F7"/>
    <mergeCell ref="H8:H9"/>
    <mergeCell ref="D4:D5"/>
    <mergeCell ref="E4:E5"/>
    <mergeCell ref="G6:G7"/>
    <mergeCell ref="B4:B5"/>
    <mergeCell ref="F8:F9"/>
    <mergeCell ref="D6:D7"/>
    <mergeCell ref="C4:C5"/>
    <mergeCell ref="E6:E7"/>
    <mergeCell ref="B8:B9"/>
    <mergeCell ref="C8:C9"/>
    <mergeCell ref="D8:D9"/>
    <mergeCell ref="B6:B7"/>
    <mergeCell ref="E8:E9"/>
    <mergeCell ref="C6:C7"/>
  </mergeCells>
  <hyperlinks>
    <hyperlink ref="J11" r:id="rId1" xr:uid="{3E9C41AE-46C6-41B5-A7ED-5C02D3FAEDDA}"/>
    <hyperlink ref="R13" r:id="rId2" location="overview" xr:uid="{66123348-0BA3-4B43-8F60-714E0877E759}"/>
    <hyperlink ref="O13" r:id="rId3" location="overview" xr:uid="{CF023810-F97E-4263-A6AF-D6137212085F}"/>
    <hyperlink ref="T13" r:id="rId4" location="overview" display="Provider of environmental services intended to protect the environment and improve the standard of living of Polish residents. The company offers comprehensive services and infrastructure for local governments and businesses including raw materials management, energy production from renewable sources, waste, sludge, and biomass, as well as water and sewage management, and more." xr:uid="{5F61EB20-33F7-4714-9C62-4507E17DEEBF}"/>
    <hyperlink ref="D13" r:id="rId5" xr:uid="{1B8A6F63-34CB-43CE-9409-F937F37174A7}"/>
    <hyperlink ref="T14" r:id="rId6" xr:uid="{3858EA2C-A132-468D-A9DD-89BBC47EC421}"/>
    <hyperlink ref="I12" r:id="rId7" xr:uid="{3AD9F224-EB59-4C20-B9BB-473C65AB4D40}"/>
  </hyperlinks>
  <pageMargins left="0.7" right="0.7" top="0.75" bottom="0.75" header="0.3" footer="0.3"/>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 EV Recyclers Summary</vt:lpstr>
      <vt:lpstr>Private EV Recyclers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Nair</cp:lastModifiedBy>
  <dcterms:created xsi:type="dcterms:W3CDTF">2024-06-13T04:33:01Z</dcterms:created>
  <dcterms:modified xsi:type="dcterms:W3CDTF">2024-06-13T07:34:21Z</dcterms:modified>
</cp:coreProperties>
</file>