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84" activeTab="1"/>
  </bookViews>
  <sheets>
    <sheet name="数据汇总表" sheetId="1" r:id="rId1"/>
    <sheet name="球探数据分析录入表" sheetId="2" r:id="rId2"/>
    <sheet name="球探亚洲盘口数据录入" sheetId="3" r:id="rId3"/>
    <sheet name="球探欧赔数据录入表" sheetId="4" r:id="rId4"/>
    <sheet name="欧洲数据分析表" sheetId="5" r:id="rId5"/>
    <sheet name="Sheet1" sheetId="6" r:id="rId6"/>
    <sheet name="工作表7" sheetId="7" r:id="rId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R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=HLOOKUP(--LARGE(#REF!,2),#REF!,2,FALSE)
</t>
        </r>
      </text>
    </comment>
  </commentList>
</comments>
</file>

<file path=xl/sharedStrings.xml><?xml version="1.0" encoding="utf-8"?>
<sst xmlns="http://schemas.openxmlformats.org/spreadsheetml/2006/main" count="1068" uniqueCount="272">
  <si>
    <t>实力亚盘</t>
  </si>
  <si>
    <t>进攻分值</t>
  </si>
  <si>
    <t>防守分值</t>
  </si>
  <si>
    <t>一位进球差距</t>
  </si>
  <si>
    <t>一位综合差距</t>
  </si>
  <si>
    <t>■盘力指数■</t>
  </si>
  <si>
    <t>■取胜易度■</t>
  </si>
  <si>
    <t>最高凯利</t>
  </si>
  <si>
    <t>初盘偏度</t>
  </si>
  <si>
    <t>单位偏差</t>
  </si>
  <si>
    <t>初盘峰度</t>
  </si>
  <si>
    <t>凯利偏差</t>
  </si>
  <si>
    <t>尾盘峰度</t>
  </si>
  <si>
    <t>FC东京(主)   VS   大阪樱花</t>
  </si>
  <si>
    <t>FC东京近</t>
  </si>
  <si>
    <t>场  同主法乙法国杯法联杯球会友谊</t>
  </si>
  <si>
    <t>类型</t>
  </si>
  <si>
    <t>日期</t>
  </si>
  <si>
    <t>主场</t>
  </si>
  <si>
    <t>比分(半场)</t>
  </si>
  <si>
    <t>客场</t>
  </si>
  <si>
    <t>  </t>
  </si>
  <si>
    <t>胜负</t>
  </si>
  <si>
    <t>盘路</t>
  </si>
  <si>
    <t>大小</t>
  </si>
  <si>
    <t>主</t>
  </si>
  <si>
    <t>盘口</t>
  </si>
  <si>
    <t>客</t>
  </si>
  <si>
    <t>和</t>
  </si>
  <si>
    <t>日职联</t>
  </si>
  <si>
    <t>名古屋鲸</t>
  </si>
  <si>
    <t>1-2(0-0)</t>
  </si>
  <si>
    <t>FC东京</t>
  </si>
  <si>
    <t>受半球</t>
  </si>
  <si>
    <t>0-2(0-0)</t>
  </si>
  <si>
    <t>清水鼓动</t>
  </si>
  <si>
    <t>半球</t>
  </si>
  <si>
    <t>广岛三箭</t>
  </si>
  <si>
    <t>1-1(1-0)</t>
  </si>
  <si>
    <t>平手</t>
  </si>
  <si>
    <t>仙台维加</t>
  </si>
  <si>
    <t>1-0(0-0)</t>
  </si>
  <si>
    <t>受平/半</t>
  </si>
  <si>
    <t>0-0(0-0)</t>
  </si>
  <si>
    <t>鸟栖沙岩</t>
  </si>
  <si>
    <t>半/一</t>
  </si>
  <si>
    <t>湘南海洋</t>
  </si>
  <si>
    <t>日皇杯</t>
  </si>
  <si>
    <t>山形山神</t>
  </si>
  <si>
    <t>1-1(1-1)</t>
  </si>
  <si>
    <t>受一球</t>
  </si>
  <si>
    <t>札幌冈萨</t>
  </si>
  <si>
    <t>3-2(0-2)</t>
  </si>
  <si>
    <t>0-1(0-0)</t>
  </si>
  <si>
    <t>柏太阳神</t>
  </si>
  <si>
    <t>大阪钢巴</t>
  </si>
  <si>
    <t>2-1(1-0)</t>
  </si>
  <si>
    <t>近10场,胜3平4负3, 胜率:30% 赢盘率:44.4% 大球:33.3% 单率:40%</t>
  </si>
  <si>
    <t>大阪樱花近</t>
  </si>
  <si>
    <t>场  同客 法乙法国杯法联杯球会友谊</t>
  </si>
  <si>
    <t>大阪樱花</t>
  </si>
  <si>
    <t>0-1(0-1)</t>
  </si>
  <si>
    <t>1-1(0-0)</t>
  </si>
  <si>
    <t>磐田喜悦</t>
  </si>
  <si>
    <t>日联杯</t>
  </si>
  <si>
    <t>2-2(2-2)</t>
  </si>
  <si>
    <t>3-0(1-0)</t>
  </si>
  <si>
    <t>浦和红钻</t>
  </si>
  <si>
    <t>1-2(1-1)</t>
  </si>
  <si>
    <t>平/半</t>
  </si>
  <si>
    <t>甲府风林</t>
  </si>
  <si>
    <t>长崎成功</t>
  </si>
  <si>
    <t>0-2(0-1)</t>
  </si>
  <si>
    <t>3-1(1-1)</t>
  </si>
  <si>
    <t>近10场,胜4平5负1, 胜率:40% 赢盘率:44.4% 大球:55.6% 单率:30%</t>
  </si>
  <si>
    <t>网站数据分析处理提取</t>
  </si>
  <si>
    <t>主队数据</t>
  </si>
  <si>
    <t>比分</t>
  </si>
  <si>
    <t>主场进球</t>
  </si>
  <si>
    <t>主场失球</t>
  </si>
  <si>
    <t>客场进球</t>
  </si>
  <si>
    <t>客场失球</t>
  </si>
  <si>
    <t>主场进球胜率</t>
  </si>
  <si>
    <t>客场进球胜率</t>
  </si>
  <si>
    <t>客队数据</t>
  </si>
  <si>
    <t>二次数据处理</t>
  </si>
  <si>
    <t>主对阵难度</t>
  </si>
  <si>
    <t>客对阵难度</t>
  </si>
  <si>
    <t>主全位进球百分比</t>
  </si>
  <si>
    <t>客全位进球百分比</t>
  </si>
  <si>
    <t>主进球百分比</t>
  </si>
  <si>
    <t>客进球百分比</t>
  </si>
  <si>
    <t>主难度比例</t>
  </si>
  <si>
    <t>客难度比例</t>
  </si>
  <si>
    <t>2进球</t>
  </si>
  <si>
    <t>加权进球和防守</t>
  </si>
  <si>
    <t>主失球易度</t>
  </si>
  <si>
    <t>客失球易度</t>
  </si>
  <si>
    <t>主全位防守百分比</t>
  </si>
  <si>
    <t>客全位防守百分比</t>
  </si>
  <si>
    <t>主防守百分比</t>
  </si>
  <si>
    <t>客防守百分比</t>
  </si>
  <si>
    <t>进失量</t>
  </si>
  <si>
    <t>主进球易度</t>
  </si>
  <si>
    <t>客进球易度</t>
  </si>
  <si>
    <t>进失比</t>
  </si>
  <si>
    <t>进球距</t>
  </si>
  <si>
    <t>＿</t>
  </si>
  <si>
    <t>索肖(主) vs 尼奧特 报错</t>
  </si>
  <si>
    <t>博彩公司</t>
  </si>
  <si>
    <t>多盘口</t>
  </si>
  <si>
    <t>初盘</t>
  </si>
  <si>
    <t>历史资料</t>
  </si>
  <si>
    <t>平手/半球</t>
  </si>
  <si>
    <t>主队</t>
  </si>
  <si>
    <t>客队</t>
  </si>
  <si>
    <t>半球/一球</t>
  </si>
  <si>
    <t>ＳＢ </t>
  </si>
  <si>
    <t>　主　客　同</t>
  </si>
  <si>
    <t>一球</t>
  </si>
  <si>
    <t>澳门</t>
  </si>
  <si>
    <t>一球/球半</t>
  </si>
  <si>
    <t>Crown</t>
  </si>
  <si>
    <t>球半</t>
  </si>
  <si>
    <t>10Bet</t>
  </si>
  <si>
    <t>球半/两球</t>
  </si>
  <si>
    <t>金宝博</t>
  </si>
  <si>
    <t>两球</t>
  </si>
  <si>
    <t>利记</t>
  </si>
  <si>
    <t>两球/两球半</t>
  </si>
  <si>
    <t>Bet365</t>
  </si>
  <si>
    <t>两球半/三球</t>
  </si>
  <si>
    <t>韦德</t>
  </si>
  <si>
    <t>三球</t>
  </si>
  <si>
    <t>易胜</t>
  </si>
  <si>
    <t>三球/三球半</t>
  </si>
  <si>
    <t>12Bet</t>
  </si>
  <si>
    <t>三球半/四球</t>
  </si>
  <si>
    <t>明陞</t>
  </si>
  <si>
    <t>四球</t>
  </si>
  <si>
    <t>盈禾</t>
  </si>
  <si>
    <t>四球/四球半</t>
  </si>
  <si>
    <t>四球半/五球</t>
  </si>
  <si>
    <t>五球</t>
  </si>
  <si>
    <t>广告：=== 天天赛前免费一场=== 澳门足球推荐网===已连赢18场===保证一注翻身===【【 ===点 击 查 看 ===】】</t>
  </si>
  <si>
    <t>转换标准</t>
  </si>
  <si>
    <t>五球/五球半</t>
  </si>
  <si>
    <t>五球半/六球</t>
  </si>
  <si>
    <t>六球</t>
  </si>
  <si>
    <t>两球半</t>
  </si>
  <si>
    <t>三球半</t>
  </si>
  <si>
    <t>四球半</t>
  </si>
  <si>
    <t>五球半</t>
  </si>
  <si>
    <t>受让平手/半球</t>
  </si>
  <si>
    <t>受让半球/一球</t>
  </si>
  <si>
    <t>受让一球</t>
  </si>
  <si>
    <t>受让一球/球半</t>
  </si>
  <si>
    <t>受让球半</t>
  </si>
  <si>
    <t>受让球半/两球</t>
  </si>
  <si>
    <t>受让两球</t>
  </si>
  <si>
    <t>受让两球/两球半</t>
  </si>
  <si>
    <t>受让两球半/三球</t>
  </si>
  <si>
    <t>受让三球</t>
  </si>
  <si>
    <t>受让三球/三球半</t>
  </si>
  <si>
    <t>受让三球半/四球</t>
  </si>
  <si>
    <t>受让四球</t>
  </si>
  <si>
    <t>受让四球/四球半</t>
  </si>
  <si>
    <t>受让四球半/五球</t>
  </si>
  <si>
    <t>受让五球</t>
  </si>
  <si>
    <t>受让五球/五球半</t>
  </si>
  <si>
    <t>受让五球半/六球</t>
  </si>
  <si>
    <t>受让六球</t>
  </si>
  <si>
    <t>受让半球</t>
  </si>
  <si>
    <t>受让两球半</t>
  </si>
  <si>
    <t>受让三球半</t>
  </si>
  <si>
    <t>受让四球半</t>
  </si>
  <si>
    <t>受让五球半</t>
  </si>
  <si>
    <t xml:space="preserve"> </t>
  </si>
  <si>
    <t>即时盘</t>
  </si>
  <si>
    <t>最新概率(%)</t>
  </si>
  <si>
    <t>最新凯利指数</t>
  </si>
  <si>
    <t>返还率</t>
  </si>
  <si>
    <t>序号</t>
  </si>
  <si>
    <t>平</t>
  </si>
  <si>
    <t>值</t>
  </si>
  <si>
    <t>最大值</t>
  </si>
  <si>
    <t>最小值</t>
  </si>
  <si>
    <t>平均值</t>
  </si>
  <si>
    <t>bet 365(英国)</t>
  </si>
  <si>
    <t>立博(英国)</t>
  </si>
  <si>
    <t>伟德(直布罗陀)</t>
  </si>
  <si>
    <t>明陞(菲律宾)</t>
  </si>
  <si>
    <t>10BET(英国)</t>
  </si>
  <si>
    <t>金宝博(马恩岛)</t>
  </si>
  <si>
    <t>12BET(菲律宾)</t>
  </si>
  <si>
    <t>利记sbobet(英国)</t>
  </si>
  <si>
    <t>盈禾(菲律宾)</t>
  </si>
  <si>
    <t>18Bet</t>
  </si>
  <si>
    <t>易胜博(安提瓜和巴布达)</t>
  </si>
  <si>
    <t>欧赔胜</t>
  </si>
  <si>
    <t>欧赔负</t>
  </si>
  <si>
    <t>胜率</t>
  </si>
  <si>
    <t>和率</t>
  </si>
  <si>
    <t>负率</t>
  </si>
  <si>
    <t>最小欧赔</t>
  </si>
  <si>
    <t>最大胜率</t>
  </si>
  <si>
    <t>第二大胜率</t>
  </si>
  <si>
    <t>换算公式1</t>
  </si>
  <si>
    <t>换算公式2</t>
  </si>
  <si>
    <t>换算公式3</t>
  </si>
  <si>
    <t>换算公式4</t>
  </si>
  <si>
    <t>换算公式5</t>
  </si>
  <si>
    <t>换算公式6</t>
  </si>
  <si>
    <t>换算公式7</t>
  </si>
  <si>
    <t>换算公式8</t>
  </si>
  <si>
    <t>水位标准</t>
  </si>
  <si>
    <t>盘级标准</t>
  </si>
  <si>
    <t>亚盘系数</t>
  </si>
  <si>
    <t>水位</t>
  </si>
  <si>
    <t>文本盘级</t>
  </si>
  <si>
    <t>一下具体数据对应到“亚洲盘口数据录入表”</t>
  </si>
  <si>
    <t>SB(中国台湾)</t>
  </si>
  <si>
    <t>沙巴(马来西亚)</t>
  </si>
  <si>
    <t>24hBET(瑞典)</t>
  </si>
  <si>
    <t>金宝博()</t>
  </si>
  <si>
    <t>小利(英国)</t>
  </si>
  <si>
    <t>尾盘</t>
  </si>
  <si>
    <t>欧赔偏差</t>
  </si>
  <si>
    <t>偏差比例</t>
  </si>
  <si>
    <t>进球及概率</t>
  </si>
  <si>
    <t>单方进球</t>
  </si>
  <si>
    <t>泊松函数</t>
  </si>
  <si>
    <t>进失球合计</t>
  </si>
  <si>
    <t>预计进球数</t>
  </si>
  <si>
    <t>P(H)</t>
  </si>
  <si>
    <t>主队主场平均进球</t>
  </si>
  <si>
    <t>P(A)</t>
  </si>
  <si>
    <t>客队客场平均进球</t>
  </si>
  <si>
    <t>预计比分</t>
  </si>
  <si>
    <t>单场数量</t>
  </si>
  <si>
    <t>主客合计平均进球</t>
  </si>
  <si>
    <t>１:０</t>
  </si>
  <si>
    <t>2:0</t>
  </si>
  <si>
    <t>2:1</t>
  </si>
  <si>
    <t>3:0</t>
  </si>
  <si>
    <t>3:1</t>
  </si>
  <si>
    <t>3:2</t>
  </si>
  <si>
    <t>4:0</t>
  </si>
  <si>
    <t>4:1</t>
  </si>
  <si>
    <t>4:2</t>
  </si>
  <si>
    <t>胜其他</t>
  </si>
  <si>
    <t>0:0</t>
  </si>
  <si>
    <t>1:1</t>
  </si>
  <si>
    <t>2:2</t>
  </si>
  <si>
    <t>3:3</t>
  </si>
  <si>
    <t>平其他</t>
  </si>
  <si>
    <t>0:1</t>
  </si>
  <si>
    <t>0:2</t>
  </si>
  <si>
    <t>1:2</t>
  </si>
  <si>
    <t>0:3</t>
  </si>
  <si>
    <t>1:3</t>
  </si>
  <si>
    <t>2:3</t>
  </si>
  <si>
    <t>0:4</t>
  </si>
  <si>
    <t>1:4</t>
  </si>
  <si>
    <t>2:4</t>
  </si>
  <si>
    <t>负其他</t>
  </si>
  <si>
    <t>比分概率</t>
  </si>
  <si>
    <t>ff</t>
  </si>
  <si>
    <t>远期球队综合欧洲盘口</t>
  </si>
  <si>
    <t>近期球队综合欧洲盘口</t>
  </si>
  <si>
    <t>远期球队攻防指数</t>
  </si>
  <si>
    <t>近期球队攻防指数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</si>
</sst>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"/>
    <numFmt numFmtId="178" formatCode="0.0%"/>
    <numFmt numFmtId="179" formatCode="yyyy/m/d;@"/>
    <numFmt numFmtId="180" formatCode="0_);[Red]\(0\)"/>
    <numFmt numFmtId="181" formatCode="0.00_ "/>
    <numFmt numFmtId="182" formatCode="0_ "/>
    <numFmt numFmtId="183" formatCode="0.00_);[Red]\(0.00\)"/>
    <numFmt numFmtId="184" formatCode="0&quot; ：&quot;0"/>
    <numFmt numFmtId="185" formatCode="0.000"/>
    <numFmt numFmtId="186" formatCode="0.00_ ;[Red]\-0.00\ "/>
  </numFmts>
  <fonts count="85">
    <font>
      <sz val="12"/>
      <color rgb="FF000000"/>
      <name val="仿宋"/>
      <charset val="134"/>
    </font>
    <font>
      <sz val="12"/>
      <color rgb="FF4A452A"/>
      <name val="微软雅黑"/>
      <charset val="134"/>
    </font>
    <font>
      <b/>
      <sz val="12"/>
      <color rgb="FFFFFFFF"/>
      <name val="仿宋"/>
      <charset val="134"/>
    </font>
    <font>
      <b/>
      <sz val="9"/>
      <color rgb="FF1305CD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rgb="FF000000"/>
      <name val="宋体"/>
      <charset val="134"/>
    </font>
    <font>
      <sz val="12"/>
      <color rgb="FF000000"/>
      <name val="微软雅黑"/>
      <charset val="134"/>
    </font>
    <font>
      <sz val="12"/>
      <color rgb="FFFF0066"/>
      <name val="微软雅黑"/>
      <charset val="134"/>
    </font>
    <font>
      <sz val="12"/>
      <color rgb="FFFF0000"/>
      <name val="仿宋"/>
      <charset val="134"/>
    </font>
    <font>
      <sz val="9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FF0000"/>
      <name val="宋体"/>
      <charset val="134"/>
    </font>
    <font>
      <b/>
      <sz val="9"/>
      <color rgb="FFFFFF00"/>
      <name val="宋体"/>
      <charset val="134"/>
    </font>
    <font>
      <b/>
      <sz val="12"/>
      <color rgb="FFFFFF00"/>
      <name val="宋体"/>
      <charset val="134"/>
    </font>
    <font>
      <b/>
      <sz val="8"/>
      <color rgb="FFFF0000"/>
      <name val="宋体"/>
      <charset val="134"/>
    </font>
    <font>
      <b/>
      <sz val="12"/>
      <color rgb="FF000000"/>
      <name val="仿宋"/>
      <charset val="134"/>
    </font>
    <font>
      <b/>
      <sz val="12"/>
      <color rgb="FF4A452A"/>
      <name val="微软雅黑"/>
      <charset val="134"/>
    </font>
    <font>
      <b/>
      <sz val="12"/>
      <color rgb="FFFF0000"/>
      <name val="仿宋"/>
      <charset val="134"/>
    </font>
    <font>
      <b/>
      <sz val="12"/>
      <color rgb="FF00B050"/>
      <name val="仿宋"/>
      <charset val="134"/>
    </font>
    <font>
      <b/>
      <sz val="12"/>
      <color rgb="FFFFFF00"/>
      <name val="仿宋"/>
      <charset val="134"/>
    </font>
    <font>
      <b/>
      <sz val="11"/>
      <color rgb="FF000000"/>
      <name val="仿宋"/>
      <charset val="134"/>
    </font>
    <font>
      <b/>
      <sz val="12"/>
      <color rgb="FF0000FF"/>
      <name val="仿宋"/>
      <charset val="134"/>
    </font>
    <font>
      <sz val="12"/>
      <color rgb="FF0000FF"/>
      <name val="仿宋"/>
      <charset val="134"/>
    </font>
    <font>
      <sz val="11"/>
      <color rgb="FFFFFFFF"/>
      <name val="宋体"/>
      <charset val="134"/>
    </font>
    <font>
      <b/>
      <sz val="11"/>
      <color rgb="FF000000"/>
      <name val="华文细黑"/>
      <charset val="134"/>
    </font>
    <font>
      <b/>
      <sz val="11"/>
      <color rgb="FFFF0000"/>
      <name val="华文细黑"/>
      <charset val="134"/>
    </font>
    <font>
      <sz val="11"/>
      <color rgb="FF000000"/>
      <name val="宋体"/>
      <charset val="134"/>
    </font>
    <font>
      <sz val="11"/>
      <color rgb="FFFF0000"/>
      <name val="华文细黑"/>
      <charset val="134"/>
    </font>
    <font>
      <sz val="11"/>
      <color rgb="FF000000"/>
      <name val="华文细黑"/>
      <charset val="134"/>
    </font>
    <font>
      <sz val="11"/>
      <color rgb="FF0070C0"/>
      <name val="华文细黑"/>
      <charset val="134"/>
    </font>
    <font>
      <sz val="11"/>
      <color rgb="FF0000FF"/>
      <name val="华文细黑"/>
      <charset val="134"/>
    </font>
    <font>
      <sz val="10"/>
      <color rgb="FF000000"/>
      <name val="华文细黑"/>
      <charset val="134"/>
    </font>
    <font>
      <b/>
      <sz val="14"/>
      <color rgb="FFFFFFFF"/>
      <name val="仿宋"/>
      <charset val="134"/>
    </font>
    <font>
      <sz val="14"/>
      <color rgb="FF000000"/>
      <name val="仿宋"/>
      <charset val="134"/>
    </font>
    <font>
      <b/>
      <sz val="12"/>
      <color rgb="FFE46D0A"/>
      <name val="仿宋"/>
      <charset val="134"/>
    </font>
    <font>
      <sz val="12"/>
      <color rgb="FFFFFFFF"/>
      <name val="仿宋"/>
      <charset val="134"/>
    </font>
    <font>
      <sz val="12"/>
      <color rgb="FF002060"/>
      <name val="仿宋"/>
      <charset val="134"/>
    </font>
    <font>
      <b/>
      <sz val="12"/>
      <color rgb="FF0070C0"/>
      <name val="仿宋"/>
      <charset val="134"/>
    </font>
    <font>
      <b/>
      <sz val="10"/>
      <color rgb="FFFF0000"/>
      <name val="仿宋"/>
      <charset val="134"/>
    </font>
    <font>
      <b/>
      <sz val="10"/>
      <color rgb="FF000000"/>
      <name val="仿宋"/>
      <charset val="134"/>
    </font>
    <font>
      <sz val="10"/>
      <color rgb="FF000000"/>
      <name val="仿宋"/>
      <charset val="134"/>
    </font>
    <font>
      <b/>
      <sz val="12"/>
      <color rgb="FF002060"/>
      <name val="仿宋"/>
      <charset val="134"/>
    </font>
    <font>
      <b/>
      <sz val="14"/>
      <color rgb="FFFFFFFF"/>
      <name val="微软雅黑"/>
      <charset val="134"/>
    </font>
    <font>
      <b/>
      <sz val="12"/>
      <color rgb="FFFFFFFF"/>
      <name val="微软雅黑"/>
      <charset val="134"/>
    </font>
    <font>
      <b/>
      <sz val="11"/>
      <color rgb="FFFFFFFF"/>
      <name val="微软雅黑"/>
      <charset val="134"/>
    </font>
    <font>
      <sz val="12"/>
      <color rgb="FF00FFFF"/>
      <name val="微软雅黑"/>
      <charset val="134"/>
    </font>
    <font>
      <sz val="12"/>
      <color rgb="FF0000FF"/>
      <name val="微软雅黑"/>
      <charset val="134"/>
    </font>
    <font>
      <sz val="11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0000"/>
      <name val="方正姚体"/>
      <charset val="134"/>
    </font>
    <font>
      <sz val="12"/>
      <color rgb="FFFF0000"/>
      <name val="华文细黑"/>
      <charset val="134"/>
    </font>
    <font>
      <sz val="12"/>
      <name val="华文细黑"/>
      <charset val="134"/>
    </font>
    <font>
      <sz val="12"/>
      <color rgb="FF000000"/>
      <name val="华文细黑"/>
      <charset val="134"/>
    </font>
    <font>
      <sz val="12"/>
      <color rgb="FF000000"/>
      <name val="方正姚体"/>
      <charset val="134"/>
    </font>
    <font>
      <sz val="11"/>
      <color rgb="FF000000"/>
      <name val="方正姚体"/>
      <charset val="134"/>
    </font>
    <font>
      <sz val="11"/>
      <color rgb="FF0000FF"/>
      <name val="方正姚体"/>
      <charset val="134"/>
    </font>
    <font>
      <sz val="12"/>
      <color rgb="FF0000FF"/>
      <name val="方正姚体"/>
      <charset val="134"/>
    </font>
    <font>
      <b/>
      <sz val="18"/>
      <color rgb="FFFFFFFF"/>
      <name val="华文琥珀"/>
      <charset val="134"/>
    </font>
    <font>
      <b/>
      <sz val="14"/>
      <color rgb="FFFF0066"/>
      <name val="华文隶书"/>
      <charset val="134"/>
    </font>
    <font>
      <sz val="11"/>
      <color rgb="FFFF0000"/>
      <name val="微软雅黑"/>
      <charset val="134"/>
    </font>
    <font>
      <sz val="12"/>
      <color rgb="FF0070C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215867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auto="1"/>
      </top>
      <bottom style="thin">
        <color rgb="FF215867"/>
      </bottom>
      <diagonal/>
    </border>
    <border>
      <left/>
      <right/>
      <top style="thin">
        <color rgb="FF215867"/>
      </top>
      <bottom/>
      <diagonal/>
    </border>
    <border>
      <left/>
      <right/>
      <top style="thin">
        <color rgb="FF215867"/>
      </top>
      <bottom style="thin">
        <color rgb="FF215867"/>
      </bottom>
      <diagonal/>
    </border>
    <border>
      <left/>
      <right/>
      <top/>
      <bottom style="thin">
        <color rgb="FF215867"/>
      </bottom>
      <diagonal/>
    </border>
    <border>
      <left/>
      <right/>
      <top style="thin">
        <color rgb="FF215867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3" fillId="0" borderId="0" applyFont="0" applyFill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5" fillId="23" borderId="14" applyNumberFormat="0" applyAlignment="0" applyProtection="0">
      <alignment vertical="center"/>
    </xf>
    <xf numFmtId="44" fontId="6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3" fillId="7" borderId="15" applyNumberFormat="0" applyFont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6" applyNumberFormat="0" applyFill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6" fillId="30" borderId="18" applyNumberFormat="0" applyAlignment="0" applyProtection="0">
      <alignment vertical="center"/>
    </xf>
    <xf numFmtId="0" fontId="77" fillId="30" borderId="14" applyNumberFormat="0" applyAlignment="0" applyProtection="0">
      <alignment vertical="center"/>
    </xf>
    <xf numFmtId="0" fontId="78" fillId="31" borderId="19" applyNumberFormat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1" fillId="34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</cellStyleXfs>
  <cellXfs count="249">
    <xf numFmtId="0" fontId="0" fillId="0" borderId="0" xfId="0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4" fillId="5" borderId="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178" fontId="5" fillId="0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wrapText="1"/>
    </xf>
    <xf numFmtId="180" fontId="4" fillId="0" borderId="3" xfId="0" applyNumberFormat="1" applyFont="1" applyFill="1" applyBorder="1" applyAlignment="1">
      <alignment horizontal="center" vertical="center" wrapText="1"/>
    </xf>
    <xf numFmtId="180" fontId="5" fillId="0" borderId="3" xfId="0" applyNumberFormat="1" applyFont="1" applyFill="1" applyBorder="1" applyAlignment="1">
      <alignment horizontal="center" vertical="center" shrinkToFit="1"/>
    </xf>
    <xf numFmtId="10" fontId="4" fillId="0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shrinkToFit="1"/>
    </xf>
    <xf numFmtId="49" fontId="7" fillId="5" borderId="1" xfId="0" applyNumberFormat="1" applyFont="1" applyFill="1" applyBorder="1" applyAlignment="1">
      <alignment horizontal="center" vertical="center" shrinkToFit="1"/>
    </xf>
    <xf numFmtId="49" fontId="6" fillId="5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4" fillId="6" borderId="2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shrinkToFit="1"/>
    </xf>
    <xf numFmtId="49" fontId="7" fillId="6" borderId="1" xfId="0" applyNumberFormat="1" applyFont="1" applyFill="1" applyBorder="1" applyAlignment="1">
      <alignment horizontal="center" vertical="center" shrinkToFit="1"/>
    </xf>
    <xf numFmtId="49" fontId="6" fillId="6" borderId="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vertical="center"/>
    </xf>
    <xf numFmtId="0" fontId="8" fillId="7" borderId="2" xfId="0" applyFont="1" applyFill="1" applyBorder="1" applyAlignment="1">
      <alignment vertical="center" shrinkToFit="1"/>
    </xf>
    <xf numFmtId="2" fontId="8" fillId="7" borderId="2" xfId="0" applyNumberFormat="1" applyFont="1" applyFill="1" applyBorder="1" applyAlignment="1">
      <alignment vertical="center" shrinkToFit="1"/>
    </xf>
    <xf numFmtId="2" fontId="9" fillId="7" borderId="2" xfId="0" applyNumberFormat="1" applyFont="1" applyFill="1" applyBorder="1" applyAlignment="1">
      <alignment vertical="center" shrinkToFit="1"/>
    </xf>
    <xf numFmtId="0" fontId="10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181" fontId="0" fillId="0" borderId="0" xfId="0" applyNumberFormat="1" applyAlignment="1">
      <alignment vertical="center"/>
    </xf>
    <xf numFmtId="181" fontId="4" fillId="5" borderId="2" xfId="0" applyNumberFormat="1" applyFont="1" applyFill="1" applyBorder="1" applyAlignment="1">
      <alignment horizontal="center" vertical="center" wrapText="1" shrinkToFit="1"/>
    </xf>
    <xf numFmtId="183" fontId="11" fillId="5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 shrinkToFit="1"/>
    </xf>
    <xf numFmtId="183" fontId="4" fillId="8" borderId="3" xfId="0" applyNumberFormat="1" applyFont="1" applyFill="1" applyBorder="1" applyAlignment="1">
      <alignment horizontal="center" vertical="center" shrinkToFit="1"/>
    </xf>
    <xf numFmtId="183" fontId="4" fillId="9" borderId="3" xfId="0" applyNumberFormat="1" applyFont="1" applyFill="1" applyBorder="1" applyAlignment="1">
      <alignment horizontal="center" vertical="center" shrinkToFit="1"/>
    </xf>
    <xf numFmtId="183" fontId="4" fillId="10" borderId="3" xfId="0" applyNumberFormat="1" applyFont="1" applyFill="1" applyBorder="1" applyAlignment="1">
      <alignment horizontal="center" vertical="center" wrapText="1"/>
    </xf>
    <xf numFmtId="183" fontId="12" fillId="0" borderId="3" xfId="0" applyNumberFormat="1" applyFont="1" applyFill="1" applyBorder="1" applyAlignment="1">
      <alignment horizontal="center" vertical="center" shrinkToFit="1"/>
    </xf>
    <xf numFmtId="183" fontId="13" fillId="0" borderId="3" xfId="0" applyNumberFormat="1" applyFont="1" applyFill="1" applyBorder="1" applyAlignment="1">
      <alignment horizontal="center" vertical="center" wrapText="1"/>
    </xf>
    <xf numFmtId="183" fontId="11" fillId="0" borderId="3" xfId="0" applyNumberFormat="1" applyFont="1" applyFill="1" applyBorder="1" applyAlignment="1">
      <alignment horizontal="center" vertical="center" wrapText="1"/>
    </xf>
    <xf numFmtId="183" fontId="4" fillId="0" borderId="3" xfId="0" applyNumberFormat="1" applyFont="1" applyFill="1" applyBorder="1" applyAlignment="1">
      <alignment horizontal="center" vertical="center" shrinkToFit="1"/>
    </xf>
    <xf numFmtId="183" fontId="4" fillId="8" borderId="3" xfId="0" applyNumberFormat="1" applyFont="1" applyFill="1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shrinkToFit="1"/>
    </xf>
    <xf numFmtId="180" fontId="4" fillId="0" borderId="3" xfId="0" applyNumberFormat="1" applyFont="1" applyFill="1" applyBorder="1" applyAlignment="1">
      <alignment horizontal="center" vertical="center" wrapText="1" shrinkToFit="1"/>
    </xf>
    <xf numFmtId="183" fontId="4" fillId="0" borderId="3" xfId="0" applyNumberFormat="1" applyFont="1" applyFill="1" applyBorder="1" applyAlignment="1">
      <alignment horizontal="center" vertical="center" wrapText="1"/>
    </xf>
    <xf numFmtId="10" fontId="14" fillId="0" borderId="4" xfId="0" applyNumberFormat="1" applyFont="1" applyFill="1" applyBorder="1" applyAlignment="1">
      <alignment horizontal="center" vertical="center" wrapText="1"/>
    </xf>
    <xf numFmtId="10" fontId="15" fillId="0" borderId="4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17" fillId="0" borderId="0" xfId="0" applyNumberFormat="1" applyFont="1" applyAlignment="1">
      <alignment vertical="center"/>
    </xf>
    <xf numFmtId="181" fontId="4" fillId="6" borderId="2" xfId="0" applyNumberFormat="1" applyFont="1" applyFill="1" applyBorder="1" applyAlignment="1">
      <alignment horizontal="center" vertical="center" wrapText="1" shrinkToFit="1"/>
    </xf>
    <xf numFmtId="183" fontId="11" fillId="0" borderId="2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7" fontId="9" fillId="7" borderId="2" xfId="0" applyNumberFormat="1" applyFont="1" applyFill="1" applyBorder="1" applyAlignment="1">
      <alignment vertical="center" shrinkToFit="1"/>
    </xf>
    <xf numFmtId="177" fontId="8" fillId="7" borderId="2" xfId="0" applyNumberFormat="1" applyFont="1" applyFill="1" applyBorder="1" applyAlignment="1">
      <alignment vertical="center" shrinkToFit="1"/>
    </xf>
    <xf numFmtId="1" fontId="8" fillId="7" borderId="2" xfId="0" applyNumberFormat="1" applyFont="1" applyFill="1" applyBorder="1" applyAlignment="1">
      <alignment vertical="center" shrinkToFit="1"/>
    </xf>
    <xf numFmtId="177" fontId="9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8" fillId="11" borderId="1" xfId="0" applyNumberFormat="1" applyFont="1" applyFill="1" applyBorder="1" applyAlignment="1">
      <alignment vertical="center"/>
    </xf>
    <xf numFmtId="177" fontId="1" fillId="11" borderId="1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180" fontId="11" fillId="0" borderId="3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81" fontId="11" fillId="0" borderId="3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/>
    </xf>
    <xf numFmtId="2" fontId="19" fillId="0" borderId="1" xfId="0" applyNumberFormat="1" applyFont="1" applyBorder="1" applyAlignment="1">
      <alignment vertical="center"/>
    </xf>
    <xf numFmtId="2" fontId="20" fillId="0" borderId="1" xfId="0" applyNumberFormat="1" applyFont="1" applyBorder="1" applyAlignment="1">
      <alignment vertical="center"/>
    </xf>
    <xf numFmtId="2" fontId="1" fillId="11" borderId="1" xfId="0" applyNumberFormat="1" applyFont="1" applyFill="1" applyBorder="1" applyAlignment="1">
      <alignment vertical="center"/>
    </xf>
    <xf numFmtId="181" fontId="0" fillId="0" borderId="1" xfId="0" applyNumberFormat="1" applyBorder="1" applyAlignment="1">
      <alignment vertical="center"/>
    </xf>
    <xf numFmtId="177" fontId="21" fillId="12" borderId="1" xfId="0" applyNumberFormat="1" applyFont="1" applyFill="1" applyBorder="1" applyAlignment="1">
      <alignment vertical="center"/>
    </xf>
    <xf numFmtId="2" fontId="2" fillId="12" borderId="1" xfId="0" applyNumberFormat="1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177" fontId="17" fillId="7" borderId="1" xfId="0" applyNumberFormat="1" applyFont="1" applyFill="1" applyBorder="1" applyAlignment="1">
      <alignment vertical="center"/>
    </xf>
    <xf numFmtId="2" fontId="17" fillId="7" borderId="1" xfId="0" applyNumberFormat="1" applyFont="1" applyFill="1" applyBorder="1" applyAlignment="1">
      <alignment vertical="center"/>
    </xf>
    <xf numFmtId="2" fontId="19" fillId="7" borderId="1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4" borderId="0" xfId="0" applyFont="1" applyFill="1" applyAlignment="1">
      <alignment vertical="center"/>
    </xf>
    <xf numFmtId="9" fontId="19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19" fillId="0" borderId="0" xfId="0" applyNumberFormat="1" applyFont="1" applyAlignment="1">
      <alignment vertical="center"/>
    </xf>
    <xf numFmtId="0" fontId="3" fillId="6" borderId="2" xfId="0" applyFont="1" applyFill="1" applyBorder="1" applyAlignment="1">
      <alignment horizontal="center" vertical="center" wrapText="1" shrinkToFit="1"/>
    </xf>
    <xf numFmtId="0" fontId="4" fillId="6" borderId="3" xfId="0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shrinkToFit="1"/>
    </xf>
    <xf numFmtId="49" fontId="7" fillId="6" borderId="3" xfId="0" applyNumberFormat="1" applyFont="1" applyFill="1" applyBorder="1" applyAlignment="1">
      <alignment horizontal="center" vertical="center" shrinkToFit="1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178" fontId="19" fillId="0" borderId="1" xfId="0" applyNumberFormat="1" applyFont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21" fillId="12" borderId="1" xfId="0" applyNumberFormat="1" applyFont="1" applyFill="1" applyBorder="1" applyAlignment="1">
      <alignment vertical="center"/>
    </xf>
    <xf numFmtId="177" fontId="2" fillId="12" borderId="1" xfId="0" applyNumberFormat="1" applyFon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177" fontId="0" fillId="7" borderId="1" xfId="0" applyNumberFormat="1" applyFill="1" applyBorder="1" applyAlignment="1">
      <alignment vertical="center"/>
    </xf>
    <xf numFmtId="49" fontId="16" fillId="6" borderId="3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" fontId="2" fillId="12" borderId="1" xfId="0" applyNumberFormat="1" applyFont="1" applyFill="1" applyBorder="1" applyAlignment="1">
      <alignment horizontal="center" vertical="center"/>
    </xf>
    <xf numFmtId="2" fontId="24" fillId="7" borderId="1" xfId="0" applyNumberFormat="1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81" fontId="17" fillId="0" borderId="0" xfId="0" applyNumberFormat="1" applyFont="1" applyAlignment="1">
      <alignment vertical="center"/>
    </xf>
    <xf numFmtId="0" fontId="0" fillId="13" borderId="1" xfId="0" applyFill="1" applyBorder="1" applyAlignment="1">
      <alignment vertical="center"/>
    </xf>
    <xf numFmtId="0" fontId="25" fillId="13" borderId="0" xfId="0" applyFont="1" applyFill="1" applyAlignment="1">
      <alignment horizontal="center" vertical="center"/>
    </xf>
    <xf numFmtId="2" fontId="26" fillId="14" borderId="1" xfId="0" applyNumberFormat="1" applyFont="1" applyFill="1" applyBorder="1" applyAlignment="1">
      <alignment horizontal="center" vertical="center"/>
    </xf>
    <xf numFmtId="2" fontId="27" fillId="14" borderId="1" xfId="0" applyNumberFormat="1" applyFont="1" applyFill="1" applyBorder="1" applyAlignment="1">
      <alignment horizontal="center" vertical="center"/>
    </xf>
    <xf numFmtId="181" fontId="28" fillId="0" borderId="0" xfId="0" applyNumberFormat="1" applyFont="1" applyAlignment="1">
      <alignment vertical="center"/>
    </xf>
    <xf numFmtId="2" fontId="29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2" fontId="27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2" fontId="30" fillId="2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30" fillId="4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vertical="center"/>
    </xf>
    <xf numFmtId="181" fontId="30" fillId="2" borderId="1" xfId="0" applyNumberFormat="1" applyFont="1" applyFill="1" applyBorder="1" applyAlignment="1">
      <alignment vertical="center"/>
    </xf>
    <xf numFmtId="181" fontId="31" fillId="2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vertical="center"/>
    </xf>
    <xf numFmtId="181" fontId="30" fillId="4" borderId="1" xfId="0" applyNumberFormat="1" applyFont="1" applyFill="1" applyBorder="1" applyAlignment="1">
      <alignment vertical="center"/>
    </xf>
    <xf numFmtId="181" fontId="31" fillId="4" borderId="1" xfId="0" applyNumberFormat="1" applyFont="1" applyFill="1" applyBorder="1" applyAlignment="1">
      <alignment vertical="center"/>
    </xf>
    <xf numFmtId="186" fontId="25" fillId="13" borderId="0" xfId="0" applyNumberFormat="1" applyFont="1" applyFill="1" applyAlignment="1">
      <alignment horizontal="center" vertical="center"/>
    </xf>
    <xf numFmtId="181" fontId="32" fillId="2" borderId="1" xfId="0" applyNumberFormat="1" applyFont="1" applyFill="1" applyBorder="1" applyAlignment="1">
      <alignment vertical="center"/>
    </xf>
    <xf numFmtId="0" fontId="30" fillId="2" borderId="1" xfId="0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186" fontId="30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181" fontId="32" fillId="4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186" fontId="30" fillId="4" borderId="1" xfId="0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vertical="center"/>
    </xf>
    <xf numFmtId="0" fontId="25" fillId="13" borderId="6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81" fontId="19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0" fillId="15" borderId="1" xfId="0" applyFill="1" applyBorder="1" applyAlignment="1">
      <alignment vertical="center"/>
    </xf>
    <xf numFmtId="179" fontId="0" fillId="15" borderId="1" xfId="0" applyNumberForma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2" fontId="10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10" fillId="0" borderId="0" xfId="0" applyNumberFormat="1" applyFont="1" applyAlignment="1">
      <alignment vertical="center"/>
    </xf>
    <xf numFmtId="2" fontId="10" fillId="0" borderId="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179" fontId="0" fillId="0" borderId="1" xfId="0" applyNumberFormat="1" applyBorder="1" applyAlignment="1">
      <alignment vertical="center"/>
    </xf>
    <xf numFmtId="0" fontId="34" fillId="3" borderId="6" xfId="0" applyFont="1" applyFill="1" applyBorder="1" applyAlignment="1">
      <alignment horizontal="center" vertical="center"/>
    </xf>
    <xf numFmtId="0" fontId="2" fillId="16" borderId="0" xfId="0" applyFont="1" applyFill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vertical="center"/>
    </xf>
    <xf numFmtId="2" fontId="19" fillId="2" borderId="0" xfId="0" applyNumberFormat="1" applyFont="1" applyFill="1" applyBorder="1" applyAlignment="1">
      <alignment vertical="center"/>
    </xf>
    <xf numFmtId="2" fontId="17" fillId="2" borderId="0" xfId="0" applyNumberFormat="1" applyFon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2" fontId="10" fillId="2" borderId="1" xfId="0" applyNumberFormat="1" applyFont="1" applyFill="1" applyBorder="1" applyAlignment="1">
      <alignment vertical="center"/>
    </xf>
    <xf numFmtId="1" fontId="36" fillId="2" borderId="1" xfId="0" applyNumberFormat="1" applyFon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37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vertical="center"/>
    </xf>
    <xf numFmtId="181" fontId="38" fillId="18" borderId="1" xfId="0" applyNumberFormat="1" applyFont="1" applyFill="1" applyBorder="1" applyAlignment="1">
      <alignment vertical="center"/>
    </xf>
    <xf numFmtId="2" fontId="39" fillId="18" borderId="1" xfId="0" applyNumberFormat="1" applyFont="1" applyFill="1" applyBorder="1" applyAlignment="1">
      <alignment vertical="center"/>
    </xf>
    <xf numFmtId="2" fontId="39" fillId="18" borderId="7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" fontId="40" fillId="0" borderId="1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42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19" fillId="20" borderId="1" xfId="0" applyNumberFormat="1" applyFont="1" applyFill="1" applyBorder="1" applyAlignment="1">
      <alignment vertical="center"/>
    </xf>
    <xf numFmtId="2" fontId="17" fillId="20" borderId="1" xfId="0" applyNumberFormat="1" applyFont="1" applyFill="1" applyBorder="1" applyAlignment="1">
      <alignment vertical="center"/>
    </xf>
    <xf numFmtId="2" fontId="38" fillId="18" borderId="1" xfId="0" applyNumberFormat="1" applyFont="1" applyFill="1" applyBorder="1" applyAlignment="1">
      <alignment vertical="center"/>
    </xf>
    <xf numFmtId="2" fontId="43" fillId="20" borderId="1" xfId="0" applyNumberFormat="1" applyFont="1" applyFill="1" applyBorder="1" applyAlignment="1">
      <alignment vertical="center"/>
    </xf>
    <xf numFmtId="1" fontId="17" fillId="4" borderId="1" xfId="0" applyNumberFormat="1" applyFont="1" applyFill="1" applyBorder="1" applyAlignment="1">
      <alignment vertical="center"/>
    </xf>
    <xf numFmtId="2" fontId="38" fillId="18" borderId="7" xfId="0" applyNumberFormat="1" applyFont="1" applyFill="1" applyBorder="1" applyAlignment="1">
      <alignment vertical="center"/>
    </xf>
    <xf numFmtId="2" fontId="17" fillId="0" borderId="1" xfId="0" applyNumberFormat="1" applyFont="1" applyBorder="1" applyAlignment="1">
      <alignment vertical="center"/>
    </xf>
    <xf numFmtId="2" fontId="2" fillId="19" borderId="1" xfId="0" applyNumberFormat="1" applyFont="1" applyFill="1" applyBorder="1" applyAlignment="1">
      <alignment vertical="center"/>
    </xf>
    <xf numFmtId="2" fontId="23" fillId="0" borderId="1" xfId="0" applyNumberFormat="1" applyFont="1" applyBorder="1" applyAlignment="1">
      <alignment vertical="center"/>
    </xf>
    <xf numFmtId="0" fontId="44" fillId="2" borderId="8" xfId="0" applyFont="1" applyFill="1" applyBorder="1" applyAlignment="1">
      <alignment vertical="center" wrapText="1"/>
    </xf>
    <xf numFmtId="0" fontId="45" fillId="3" borderId="8" xfId="0" applyFont="1" applyFill="1" applyBorder="1" applyAlignment="1">
      <alignment horizontal="center" vertical="center" wrapText="1"/>
    </xf>
    <xf numFmtId="184" fontId="46" fillId="3" borderId="8" xfId="0" applyNumberFormat="1" applyFont="1" applyFill="1" applyBorder="1" applyAlignment="1">
      <alignment horizontal="center" vertical="center"/>
    </xf>
    <xf numFmtId="0" fontId="47" fillId="21" borderId="6" xfId="0" applyFont="1" applyFill="1" applyBorder="1" applyAlignment="1">
      <alignment vertical="center"/>
    </xf>
    <xf numFmtId="0" fontId="47" fillId="21" borderId="6" xfId="0" applyFont="1" applyFill="1" applyBorder="1" applyAlignment="1">
      <alignment horizontal="center" vertical="center"/>
    </xf>
    <xf numFmtId="185" fontId="47" fillId="21" borderId="6" xfId="0" applyNumberFormat="1" applyFont="1" applyFill="1" applyBorder="1" applyAlignment="1">
      <alignment horizontal="center" vertical="center"/>
    </xf>
    <xf numFmtId="2" fontId="48" fillId="2" borderId="7" xfId="0" applyNumberFormat="1" applyFont="1" applyFill="1" applyBorder="1" applyAlignment="1">
      <alignment horizontal="center" vertical="center"/>
    </xf>
    <xf numFmtId="2" fontId="49" fillId="8" borderId="9" xfId="0" applyNumberFormat="1" applyFont="1" applyFill="1" applyBorder="1" applyAlignment="1">
      <alignment horizontal="center" vertical="center"/>
    </xf>
    <xf numFmtId="2" fontId="50" fillId="8" borderId="9" xfId="0" applyNumberFormat="1" applyFont="1" applyFill="1" applyBorder="1" applyAlignment="1">
      <alignment horizontal="center" vertical="center"/>
    </xf>
    <xf numFmtId="2" fontId="50" fillId="2" borderId="0" xfId="0" applyNumberFormat="1" applyFont="1" applyFill="1" applyBorder="1" applyAlignment="1">
      <alignment horizontal="center" vertical="center"/>
    </xf>
    <xf numFmtId="2" fontId="51" fillId="2" borderId="10" xfId="0" applyNumberFormat="1" applyFont="1" applyFill="1" applyBorder="1" applyAlignment="1">
      <alignment horizontal="center" vertical="center"/>
    </xf>
    <xf numFmtId="2" fontId="52" fillId="2" borderId="11" xfId="0" applyNumberFormat="1" applyFont="1" applyFill="1" applyBorder="1" applyAlignment="1">
      <alignment horizontal="center" vertical="center"/>
    </xf>
    <xf numFmtId="2" fontId="53" fillId="2" borderId="11" xfId="0" applyNumberFormat="1" applyFont="1" applyFill="1" applyBorder="1" applyAlignment="1">
      <alignment horizontal="center" vertical="center"/>
    </xf>
    <xf numFmtId="2" fontId="54" fillId="2" borderId="11" xfId="0" applyNumberFormat="1" applyFont="1" applyFill="1" applyBorder="1" applyAlignment="1">
      <alignment horizontal="center" vertical="center"/>
    </xf>
    <xf numFmtId="2" fontId="55" fillId="2" borderId="11" xfId="0" applyNumberFormat="1" applyFont="1" applyFill="1" applyBorder="1" applyAlignment="1">
      <alignment horizontal="center" vertical="center"/>
    </xf>
    <xf numFmtId="2" fontId="56" fillId="2" borderId="11" xfId="0" applyNumberFormat="1" applyFont="1" applyFill="1" applyBorder="1" applyAlignment="1">
      <alignment horizontal="center" vertical="center" wrapText="1"/>
    </xf>
    <xf numFmtId="2" fontId="55" fillId="2" borderId="11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/>
    </xf>
    <xf numFmtId="2" fontId="56" fillId="2" borderId="10" xfId="0" applyNumberFormat="1" applyFont="1" applyFill="1" applyBorder="1" applyAlignment="1">
      <alignment horizontal="center" vertical="center" wrapText="1"/>
    </xf>
    <xf numFmtId="2" fontId="55" fillId="2" borderId="10" xfId="0" applyNumberFormat="1" applyFont="1" applyFill="1" applyBorder="1" applyAlignment="1">
      <alignment horizontal="center" vertical="center" wrapText="1"/>
    </xf>
    <xf numFmtId="2" fontId="51" fillId="2" borderId="11" xfId="0" applyNumberFormat="1" applyFont="1" applyFill="1" applyBorder="1" applyAlignment="1">
      <alignment horizontal="center" vertical="center"/>
    </xf>
    <xf numFmtId="2" fontId="51" fillId="2" borderId="1" xfId="0" applyNumberFormat="1" applyFont="1" applyFill="1" applyBorder="1" applyAlignment="1">
      <alignment vertical="center"/>
    </xf>
    <xf numFmtId="2" fontId="54" fillId="2" borderId="10" xfId="0" applyNumberFormat="1" applyFont="1" applyFill="1" applyBorder="1" applyAlignment="1">
      <alignment horizontal="center" vertical="center"/>
    </xf>
    <xf numFmtId="2" fontId="57" fillId="2" borderId="12" xfId="0" applyNumberFormat="1" applyFont="1" applyFill="1" applyBorder="1" applyAlignment="1">
      <alignment horizontal="center" vertical="center" wrapText="1"/>
    </xf>
    <xf numFmtId="2" fontId="57" fillId="2" borderId="11" xfId="0" applyNumberFormat="1" applyFont="1" applyFill="1" applyBorder="1" applyAlignment="1">
      <alignment horizontal="center" vertical="center" wrapText="1"/>
    </xf>
    <xf numFmtId="2" fontId="52" fillId="2" borderId="1" xfId="0" applyNumberFormat="1" applyFont="1" applyFill="1" applyBorder="1" applyAlignment="1">
      <alignment horizontal="center" vertical="center"/>
    </xf>
    <xf numFmtId="2" fontId="29" fillId="2" borderId="13" xfId="0" applyNumberFormat="1" applyFont="1" applyFill="1" applyBorder="1" applyAlignment="1">
      <alignment horizontal="center" vertical="center"/>
    </xf>
    <xf numFmtId="2" fontId="57" fillId="2" borderId="10" xfId="0" applyNumberFormat="1" applyFont="1" applyFill="1" applyBorder="1" applyAlignment="1">
      <alignment horizontal="center" vertical="center" wrapText="1"/>
    </xf>
    <xf numFmtId="2" fontId="58" fillId="2" borderId="0" xfId="0" applyNumberFormat="1" applyFont="1" applyFill="1" applyBorder="1" applyAlignment="1">
      <alignment horizontal="center" vertical="center"/>
    </xf>
    <xf numFmtId="2" fontId="57" fillId="2" borderId="1" xfId="0" applyNumberFormat="1" applyFont="1" applyFill="1" applyBorder="1" applyAlignment="1">
      <alignment horizontal="center" vertical="center" wrapText="1"/>
    </xf>
    <xf numFmtId="2" fontId="58" fillId="2" borderId="1" xfId="0" applyNumberFormat="1" applyFont="1" applyFill="1" applyBorder="1" applyAlignment="1">
      <alignment horizontal="center" vertical="center"/>
    </xf>
    <xf numFmtId="2" fontId="47" fillId="21" borderId="6" xfId="0" applyNumberFormat="1" applyFont="1" applyFill="1" applyBorder="1" applyAlignment="1">
      <alignment horizontal="center" vertical="center"/>
    </xf>
    <xf numFmtId="184" fontId="59" fillId="3" borderId="8" xfId="0" applyNumberFormat="1" applyFont="1" applyFill="1" applyBorder="1" applyAlignment="1">
      <alignment horizontal="center" vertical="center"/>
    </xf>
    <xf numFmtId="184" fontId="59" fillId="2" borderId="8" xfId="0" applyNumberFormat="1" applyFont="1" applyFill="1" applyBorder="1" applyAlignment="1">
      <alignment horizontal="center" vertical="center"/>
    </xf>
    <xf numFmtId="182" fontId="45" fillId="21" borderId="6" xfId="0" applyNumberFormat="1" applyFont="1" applyFill="1" applyBorder="1" applyAlignment="1">
      <alignment horizontal="center" vertical="center"/>
    </xf>
    <xf numFmtId="2" fontId="60" fillId="2" borderId="7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vertical="center"/>
    </xf>
    <xf numFmtId="2" fontId="62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rgb="FFFFFFFF"/>
      </font>
    </dxf>
    <dxf>
      <font>
        <color rgb="FFFF0000"/>
      </font>
    </dxf>
    <dxf>
      <font>
        <color rgb="FFFFFFFF"/>
      </font>
    </dxf>
    <dxf>
      <font>
        <color rgb="FFFFFFFF"/>
      </font>
      <fill>
        <patternFill patternType="solid">
          <bgColor rgb="FFFFFFFF"/>
        </patternFill>
      </fill>
    </dxf>
    <dxf>
      <font>
        <color rgb="FFCCFFFF"/>
      </font>
      <fill>
        <patternFill patternType="solid">
          <bgColor rgb="FFCCFFFF"/>
        </patternFill>
      </fill>
    </dxf>
    <dxf>
      <fill>
        <patternFill patternType="solid">
          <bgColor rgb="FFFF0000"/>
        </patternFill>
      </fill>
    </dxf>
    <dxf>
      <font>
        <color rgb="FF00FFFF"/>
      </font>
      <fill>
        <patternFill patternType="solid"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12</xdr:row>
      <xdr:rowOff>0</xdr:rowOff>
    </xdr:from>
    <xdr:to>
      <xdr:col>4</xdr:col>
      <xdr:colOff>1019174</xdr:colOff>
      <xdr:row>13</xdr:row>
      <xdr:rowOff>314325</xdr:rowOff>
    </xdr:to>
    <xdr:sp>
      <xdr:nvSpPr>
        <xdr:cNvPr id="2" name="矩形 3"/>
        <xdr:cNvSpPr/>
      </xdr:nvSpPr>
      <xdr:spPr>
        <a:xfrm>
          <a:off x="4314825" y="4114800"/>
          <a:ext cx="1018540" cy="657225"/>
        </a:xfrm>
        <a:prstGeom prst="rect">
          <a:avLst/>
        </a:prstGeom>
        <a:solidFill>
          <a:srgbClr val="FFFF00"/>
        </a:solidFill>
        <a:ln w="25400" cap="flat" cmpd="sng">
          <a:solidFill>
            <a:srgbClr val="FF0000"/>
          </a:solidFill>
          <a:prstDash val="solid"/>
          <a:round/>
        </a:ln>
      </xdr:spPr>
      <xdr:txBody>
        <a:bodyPr vertOverflow="clip" horzOverflow="clip" vert="horz" wrap="square" lIns="91440" tIns="45720" rIns="91440" bIns="45720" anchor="t" anchorCtr="0">
          <a:noAutofit/>
        </a:bodyPr>
        <a:lstStyle/>
        <a:p>
          <a:pPr algn="ctr" defTabSz="266700"/>
          <a:r>
            <a:rPr lang="en-US" altLang="zh-CN" sz="3600">
              <a:solidFill>
                <a:srgbClr val="FF0000"/>
              </a:solidFill>
              <a:latin typeface="Times New Roman" panose="02020603050405020304" pitchFamily="12"/>
              <a:ea typeface="宋体" panose="02010600030101010101" pitchFamily="7" charset="-122"/>
            </a:rPr>
            <a:t>COPY</a:t>
          </a:r>
          <a:endParaRPr lang="zh-CN" altLang="en-US" sz="3600">
            <a:solidFill>
              <a:srgbClr val="FF0000"/>
            </a:solidFill>
            <a:latin typeface="Times New Roman" panose="02020603050405020304" pitchFamily="1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00"/>
        </a:solidFill>
        <a:ln w="25400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5400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J17"/>
  <sheetViews>
    <sheetView showGridLines="0" workbookViewId="0">
      <selection activeCell="C5" sqref="C5"/>
    </sheetView>
  </sheetViews>
  <sheetFormatPr defaultColWidth="9" defaultRowHeight="27" customHeight="1"/>
  <cols>
    <col min="1" max="1" width="13" customWidth="1"/>
    <col min="2" max="2" width="13.125" customWidth="1"/>
    <col min="3" max="3" width="13.75" customWidth="1"/>
    <col min="4" max="4" width="16.75" customWidth="1"/>
    <col min="5" max="5" width="15.5" customWidth="1"/>
    <col min="6" max="6" width="15.375" customWidth="1"/>
    <col min="7" max="8" width="15.5" customWidth="1"/>
    <col min="9" max="9" width="13.25" customWidth="1"/>
  </cols>
  <sheetData>
    <row r="1" customHeight="1" spans="1:10">
      <c r="A1" s="210">
        <v>0</v>
      </c>
      <c r="B1" s="211" t="str">
        <f>球探数据分析录入表!A1</f>
        <v>FC东京(主)   VS   大阪樱花</v>
      </c>
      <c r="C1" s="211"/>
      <c r="D1" s="211"/>
      <c r="E1" s="211"/>
      <c r="F1" s="212" t="e">
        <f>球探数据分析录入表!B75&amp;球探数据分析录入表!A74</f>
        <v>#VALUE!</v>
      </c>
      <c r="G1" s="212"/>
      <c r="H1" s="212"/>
      <c r="I1" s="242"/>
      <c r="J1" s="243"/>
    </row>
    <row r="2" customHeight="1" spans="1:10">
      <c r="A2" s="213"/>
      <c r="B2" s="214" t="str">
        <f>球探数据分析录入表!A71</f>
        <v>FC东京胜3平4负3, 胜率</v>
      </c>
      <c r="C2" s="214"/>
      <c r="D2" s="214"/>
      <c r="E2" s="214"/>
      <c r="F2" s="215" t="str">
        <f>球探数据分析录入表!A72</f>
        <v>大阪樱花胜4平5负1, 胜率</v>
      </c>
      <c r="G2" s="215"/>
      <c r="H2" s="215"/>
      <c r="I2" s="244"/>
      <c r="J2" s="241"/>
    </row>
    <row r="3" customHeight="1" spans="1:10">
      <c r="A3" s="216"/>
      <c r="B3" s="217"/>
      <c r="C3" s="217"/>
      <c r="D3" s="217"/>
      <c r="E3" s="217"/>
      <c r="F3" s="217"/>
      <c r="G3" s="218"/>
      <c r="H3" s="218"/>
      <c r="I3" s="218"/>
      <c r="J3" s="245"/>
    </row>
    <row r="4" customHeight="1" spans="1:10">
      <c r="A4" s="219"/>
      <c r="B4" s="220" t="s">
        <v>0</v>
      </c>
      <c r="C4" s="221" t="s">
        <v>1</v>
      </c>
      <c r="D4" s="220" t="s">
        <v>2</v>
      </c>
      <c r="E4" s="222" t="s">
        <v>3</v>
      </c>
      <c r="F4" s="223" t="str">
        <f>"●"&amp;欧洲数据分析表!AG18</f>
        <v>●-2.75/1.04</v>
      </c>
      <c r="G4" s="224">
        <f>Sheet1!E13</f>
        <v>683.774730278865</v>
      </c>
      <c r="H4" s="224">
        <f>Sheet1!F13</f>
        <v>6.80412079303991</v>
      </c>
      <c r="I4" s="224">
        <f>Sheet1!G13</f>
        <v>1.07893884834466</v>
      </c>
      <c r="J4" s="246"/>
    </row>
    <row r="5" customHeight="1" spans="1:10">
      <c r="A5" s="219"/>
      <c r="B5" s="225" t="str">
        <f>欧洲数据分析表!AG15</f>
        <v>-0.50/0.89</v>
      </c>
      <c r="C5" s="226">
        <f>球探数据分析录入表!U41+A1</f>
        <v>0.493622650737022</v>
      </c>
      <c r="D5" s="226">
        <f>球探数据分析录入表!V41</f>
        <v>0.87234107337811</v>
      </c>
      <c r="E5" s="222" t="s">
        <v>4</v>
      </c>
      <c r="F5" s="223" t="str">
        <f>"●"&amp;欧洲数据分析表!AG19</f>
        <v>●-2.75/1.04</v>
      </c>
      <c r="G5" s="224">
        <f>Sheet1!E4</f>
        <v>683.774730278865</v>
      </c>
      <c r="H5" s="224">
        <f>Sheet1!F4</f>
        <v>6.80412079303991</v>
      </c>
      <c r="I5" s="224">
        <f>Sheet1!G4</f>
        <v>1.07893884834466</v>
      </c>
      <c r="J5" s="246"/>
    </row>
    <row r="6" customHeight="1" spans="1:10">
      <c r="A6" s="227"/>
      <c r="B6" s="228" t="str">
        <f>欧洲数据分析表!AG16</f>
        <v>0.25/1.05</v>
      </c>
      <c r="C6" s="229">
        <f>球探数据分析录入表!U54</f>
        <v>1.18797532494482</v>
      </c>
      <c r="D6" s="226">
        <f>球探数据分析录入表!V54</f>
        <v>0.910397127954442</v>
      </c>
      <c r="E6" s="221" t="s">
        <v>5</v>
      </c>
      <c r="F6" s="221" t="str">
        <f ca="1">"●"&amp;欧洲数据分析表!AG2</f>
        <v>●0.25/1.05</v>
      </c>
      <c r="G6" s="230">
        <f ca="1">欧洲数据分析表!B2</f>
        <v>2.33461546897888</v>
      </c>
      <c r="H6" s="230">
        <f ca="1">欧洲数据分析表!C2</f>
        <v>3.16923093795776</v>
      </c>
      <c r="I6" s="230">
        <f ca="1">欧洲数据分析表!D2</f>
        <v>3.02076935768127</v>
      </c>
      <c r="J6" s="247"/>
    </row>
    <row r="7" customHeight="1" spans="1:10">
      <c r="A7" s="227"/>
      <c r="B7" s="231" t="str">
        <f ca="1">"主队差"&amp;IF(AND(_xlfn.AGGREGATE(4,6,欧洲数据分析表!B3:B14)&gt;=G6+0.065,G6=MIN(G6:I6)),0.07,"")</f>
        <v>主队差0.07</v>
      </c>
      <c r="C7" s="231" t="str">
        <f ca="1">"客队差"&amp;IF(AND(_xlfn.AGGREGATE(4,6,欧洲数据分析表!D3:D14)&gt;=I6+0.065,I6=MIN(G6:I6)),0.07,"")</f>
        <v>客队差</v>
      </c>
      <c r="D7" s="220" t="str">
        <f>"差距"&amp;FIXED(C5+D5-C6-D6,2)</f>
        <v>差距-0.73</v>
      </c>
      <c r="E7" s="223" t="s">
        <v>6</v>
      </c>
      <c r="F7" s="232" t="str">
        <f>"●"&amp;欧洲数据分析表!AG20</f>
        <v>●-2.75/1.04</v>
      </c>
      <c r="G7" s="224">
        <f>Sheet1!E32</f>
        <v>683.774730278865</v>
      </c>
      <c r="H7" s="224">
        <f>Sheet1!F32</f>
        <v>6.80412079303991</v>
      </c>
      <c r="I7" s="224">
        <f>Sheet1!G32</f>
        <v>1.07893884834466</v>
      </c>
      <c r="J7" s="247"/>
    </row>
    <row r="8" customHeight="1" spans="1:10">
      <c r="A8" s="219"/>
      <c r="B8" s="233">
        <f>欧洲数据分析表!BB2</f>
        <v>0.960348763487505</v>
      </c>
      <c r="C8" s="233">
        <f>欧洲数据分析表!BC2</f>
        <v>0.968695604345786</v>
      </c>
      <c r="D8" s="234">
        <f>欧洲数据分析表!BD2</f>
        <v>1.00090550078504</v>
      </c>
      <c r="E8" s="235" t="s">
        <v>7</v>
      </c>
      <c r="F8" s="235" t="s">
        <v>8</v>
      </c>
      <c r="G8" s="236">
        <f ca="1">SKEW(球探欧赔数据录入表!C6:球探欧赔数据录入表!C400)</f>
        <v>-0.791651253183076</v>
      </c>
      <c r="H8" s="236">
        <f ca="1">SKEW(球探欧赔数据录入表!D6:球探欧赔数据录入表!D400)</f>
        <v>-0.260993935639759</v>
      </c>
      <c r="I8" s="236">
        <f ca="1">SKEW(球探欧赔数据录入表!E6:球探欧赔数据录入表!E400)</f>
        <v>0.700500550831198</v>
      </c>
      <c r="J8" s="227"/>
    </row>
    <row r="9" customHeight="1" spans="1:10">
      <c r="A9" s="219"/>
      <c r="B9" s="237">
        <f ca="1">Sheet1!B2</f>
        <v>0.320110256193399</v>
      </c>
      <c r="C9" s="237">
        <f ca="1">Sheet1!C2</f>
        <v>0.276252163958927</v>
      </c>
      <c r="D9" s="237">
        <f ca="1">Sheet1!D2</f>
        <v>0.403637579847673</v>
      </c>
      <c r="E9" s="235" t="s">
        <v>9</v>
      </c>
      <c r="F9" s="235" t="s">
        <v>10</v>
      </c>
      <c r="G9" s="238">
        <f ca="1">KURT(球探欧赔数据录入表!C6:球探欧赔数据录入表!C400)</f>
        <v>-0.0836655257585913</v>
      </c>
      <c r="H9" s="238">
        <f ca="1">KURT(球探欧赔数据录入表!D6:球探欧赔数据录入表!D400)</f>
        <v>-0.50151254205607</v>
      </c>
      <c r="I9" s="238">
        <f ca="1">KURT(球探欧赔数据录入表!E6:球探欧赔数据录入表!E400)</f>
        <v>0.201536567041356</v>
      </c>
      <c r="J9" s="248"/>
    </row>
    <row r="10" customHeight="1" spans="1:10">
      <c r="A10" s="219"/>
      <c r="B10" s="239">
        <f>欧洲数据分析表!BE1</f>
        <v>1.68310445668384</v>
      </c>
      <c r="C10" s="239">
        <f>欧洲数据分析表!BF1</f>
        <v>1.68294977346619</v>
      </c>
      <c r="D10" s="239">
        <f>欧洲数据分析表!BG1</f>
        <v>1.68346186604414</v>
      </c>
      <c r="E10" s="235" t="s">
        <v>11</v>
      </c>
      <c r="F10" s="235" t="s">
        <v>12</v>
      </c>
      <c r="G10" s="240">
        <f ca="1">KURT(球探欧赔数据录入表!F6:球探欧赔数据录入表!F400)</f>
        <v>0.167223939512578</v>
      </c>
      <c r="H10" s="240">
        <f ca="1">KURT(球探欧赔数据录入表!G6:球探欧赔数据录入表!G400)</f>
        <v>0.329309987057733</v>
      </c>
      <c r="I10" s="240">
        <f ca="1">KURT(球探欧赔数据录入表!H6:球探欧赔数据录入表!H400)</f>
        <v>-0.148702580783082</v>
      </c>
      <c r="J10" s="248"/>
    </row>
    <row r="11" customHeight="1" spans="1:10">
      <c r="A11" s="241"/>
      <c r="B11" s="241"/>
      <c r="C11" s="241"/>
      <c r="D11" s="241"/>
      <c r="E11" s="241"/>
      <c r="F11" s="241"/>
      <c r="G11" s="241"/>
      <c r="H11" s="241"/>
      <c r="I11" s="241"/>
      <c r="J11" s="241"/>
    </row>
    <row r="16" customHeight="1" spans="5:6">
      <c r="E16" s="34"/>
      <c r="F16" s="34"/>
    </row>
    <row r="17" customHeight="1" spans="5:6">
      <c r="E17" s="34"/>
      <c r="F17" s="34"/>
    </row>
  </sheetData>
  <mergeCells count="4">
    <mergeCell ref="B1:E1"/>
    <mergeCell ref="F1:H1"/>
    <mergeCell ref="B2:E2"/>
    <mergeCell ref="F2:H2"/>
  </mergeCells>
  <conditionalFormatting sqref="C4">
    <cfRule type="containsErrors" dxfId="0" priority="15">
      <formula>ISERROR(C4)</formula>
    </cfRule>
  </conditionalFormatting>
  <conditionalFormatting sqref="F4">
    <cfRule type="containsErrors" dxfId="0" priority="29">
      <formula>ISERROR(F4)</formula>
    </cfRule>
  </conditionalFormatting>
  <conditionalFormatting sqref="G4:I4">
    <cfRule type="containsErrors" dxfId="0" priority="6">
      <formula>ISERROR(G4)</formula>
    </cfRule>
  </conditionalFormatting>
  <conditionalFormatting sqref="G5:I5">
    <cfRule type="containsErrors" dxfId="0" priority="5">
      <formula>ISERROR(G5)</formula>
    </cfRule>
  </conditionalFormatting>
  <conditionalFormatting sqref="E6">
    <cfRule type="containsErrors" dxfId="0" priority="20">
      <formula>ISERROR(E6)</formula>
    </cfRule>
  </conditionalFormatting>
  <conditionalFormatting sqref="G6:I6">
    <cfRule type="containsErrors" dxfId="0" priority="4">
      <formula>ISERROR(G6)</formula>
    </cfRule>
  </conditionalFormatting>
  <conditionalFormatting sqref="E7">
    <cfRule type="containsErrors" dxfId="0" priority="19">
      <formula>ISERROR(E7)</formula>
    </cfRule>
  </conditionalFormatting>
  <conditionalFormatting sqref="G7:I7">
    <cfRule type="containsErrors" dxfId="0" priority="3">
      <formula>ISERROR(G7)</formula>
    </cfRule>
  </conditionalFormatting>
  <conditionalFormatting sqref="G8:I8">
    <cfRule type="containsErrors" dxfId="0" priority="24">
      <formula>ISERROR(G8)</formula>
    </cfRule>
  </conditionalFormatting>
  <conditionalFormatting sqref="E4:E5">
    <cfRule type="containsErrors" dxfId="0" priority="12">
      <formula>ISERROR(E4)</formula>
    </cfRule>
  </conditionalFormatting>
  <conditionalFormatting sqref="E8:E10">
    <cfRule type="containsErrors" dxfId="0" priority="1">
      <formula>ISERROR(E8)</formula>
    </cfRule>
  </conditionalFormatting>
  <conditionalFormatting sqref="F5:F7">
    <cfRule type="containsErrors" dxfId="0" priority="27">
      <formula>ISERROR(F5)</formula>
    </cfRule>
  </conditionalFormatting>
  <conditionalFormatting sqref="F8:F10">
    <cfRule type="containsErrors" dxfId="0" priority="2">
      <formula>ISERROR(F8)</formula>
    </cfRule>
  </conditionalFormatting>
  <conditionalFormatting sqref="B4 D4">
    <cfRule type="containsErrors" dxfId="0" priority="16">
      <formula>ISERROR(B4)</formula>
    </cfRule>
  </conditionalFormatting>
  <conditionalFormatting sqref="B5:D6 B8:D8">
    <cfRule type="containsErrors" dxfId="0" priority="28">
      <formula>ISERROR(B5)</formula>
    </cfRule>
  </conditionalFormatting>
  <conditionalFormatting sqref="B7 D7">
    <cfRule type="containsErrors" dxfId="0" priority="11">
      <formula>ISERROR(B7)</formula>
    </cfRule>
  </conditionalFormatting>
  <conditionalFormatting sqref="B9:D10">
    <cfRule type="containsErrors" dxfId="0" priority="14">
      <formula>ISERROR(B9)</formula>
    </cfRule>
  </conditionalFormatting>
  <conditionalFormatting sqref="G9:I10">
    <cfRule type="containsErrors" dxfId="0" priority="23">
      <formula>ISERROR(G9)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AK118"/>
  <sheetViews>
    <sheetView showGridLines="0" tabSelected="1" topLeftCell="A38" workbookViewId="0">
      <selection activeCell="P66" sqref="P66"/>
    </sheetView>
  </sheetViews>
  <sheetFormatPr defaultColWidth="9" defaultRowHeight="14.25"/>
  <cols>
    <col min="1" max="1" width="12.5" customWidth="1"/>
    <col min="2" max="2" width="15.125" customWidth="1"/>
    <col min="3" max="3" width="13.5" customWidth="1"/>
    <col min="4" max="4" width="15.375" customWidth="1"/>
    <col min="5" max="5" width="16.125" customWidth="1"/>
    <col min="7" max="7" width="13.625" customWidth="1"/>
    <col min="17" max="17" width="11.875" customWidth="1"/>
    <col min="18" max="18" width="11.375" customWidth="1"/>
    <col min="19" max="19" width="13.875" customWidth="1"/>
    <col min="21" max="21" width="12.625" customWidth="1"/>
  </cols>
  <sheetData>
    <row r="1" spans="1:1">
      <c r="A1" s="120" t="s">
        <v>13</v>
      </c>
    </row>
    <row r="2" spans="1:1">
      <c r="A2" s="122"/>
    </row>
    <row r="3" spans="1:1">
      <c r="A3" s="122"/>
    </row>
    <row r="4" ht="20.25" customHeight="1" spans="2:2">
      <c r="B4" s="164"/>
    </row>
    <row r="5" spans="2:2">
      <c r="B5" s="164"/>
    </row>
    <row r="6" spans="2:2">
      <c r="B6" s="164"/>
    </row>
    <row r="7" ht="20.25" customHeight="1" spans="2:2">
      <c r="B7" s="164"/>
    </row>
    <row r="8" ht="20.25" customHeight="1" spans="2:2">
      <c r="B8" s="164"/>
    </row>
    <row r="9" ht="20.25" customHeight="1" spans="2:2">
      <c r="B9" s="164"/>
    </row>
    <row r="10" spans="1:14">
      <c r="A10" s="120" t="s">
        <v>14</v>
      </c>
      <c r="B10" s="16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ht="20.25" customHeight="1" spans="1:14">
      <c r="A11" s="26" t="s">
        <v>15</v>
      </c>
      <c r="B11" s="16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ht="20.25" customHeight="1" spans="1:14">
      <c r="A12" s="26" t="s">
        <v>16</v>
      </c>
      <c r="B12" s="165" t="s">
        <v>17</v>
      </c>
      <c r="C12" s="26" t="s">
        <v>18</v>
      </c>
      <c r="D12" s="26" t="s">
        <v>19</v>
      </c>
      <c r="E12" s="26" t="s">
        <v>20</v>
      </c>
      <c r="F12" s="26" t="s">
        <v>21</v>
      </c>
      <c r="G12" s="26"/>
      <c r="H12" s="26"/>
      <c r="I12" s="26" t="s">
        <v>21</v>
      </c>
      <c r="J12" s="26"/>
      <c r="K12" s="26"/>
      <c r="L12" s="26" t="s">
        <v>22</v>
      </c>
      <c r="M12" s="26" t="s">
        <v>23</v>
      </c>
      <c r="N12" s="26" t="s">
        <v>24</v>
      </c>
    </row>
    <row r="13" ht="20.25" customHeight="1" spans="1:14">
      <c r="A13" s="26"/>
      <c r="B13" s="165"/>
      <c r="C13" s="26"/>
      <c r="D13" s="26"/>
      <c r="E13" s="26"/>
      <c r="F13" s="26" t="s">
        <v>25</v>
      </c>
      <c r="G13" s="26" t="s">
        <v>26</v>
      </c>
      <c r="H13" s="26" t="s">
        <v>27</v>
      </c>
      <c r="I13" s="26" t="s">
        <v>25</v>
      </c>
      <c r="J13" s="26" t="s">
        <v>28</v>
      </c>
      <c r="K13" s="26" t="s">
        <v>27</v>
      </c>
      <c r="L13" s="26"/>
      <c r="M13" s="26"/>
      <c r="N13" s="26"/>
    </row>
    <row r="14" spans="1:14">
      <c r="A14" s="26" t="s">
        <v>29</v>
      </c>
      <c r="C14" s="30" t="s">
        <v>30</v>
      </c>
      <c r="D14" s="30" t="s">
        <v>31</v>
      </c>
      <c r="E14" s="30" t="s">
        <v>32</v>
      </c>
      <c r="F14" s="26">
        <v>0.829999983310699</v>
      </c>
      <c r="G14" s="26" t="s">
        <v>33</v>
      </c>
      <c r="H14" s="26">
        <v>1.07000005245209</v>
      </c>
      <c r="I14" s="30">
        <v>3.35999989509583</v>
      </c>
      <c r="J14" s="30">
        <v>3.52999997138977</v>
      </c>
      <c r="K14" s="30">
        <v>2</v>
      </c>
      <c r="L14" s="26"/>
      <c r="M14" s="26"/>
      <c r="N14" s="26"/>
    </row>
    <row r="15" spans="1:14">
      <c r="A15" s="26" t="s">
        <v>29</v>
      </c>
      <c r="C15" s="30" t="s">
        <v>32</v>
      </c>
      <c r="D15" s="30" t="s">
        <v>34</v>
      </c>
      <c r="E15" s="30" t="s">
        <v>35</v>
      </c>
      <c r="F15" s="26">
        <v>0.860000014305115</v>
      </c>
      <c r="G15" s="26" t="s">
        <v>36</v>
      </c>
      <c r="H15" s="26">
        <v>1.03999996185303</v>
      </c>
      <c r="I15" s="30">
        <v>1.9099999666214</v>
      </c>
      <c r="J15" s="30">
        <v>3.47000002861023</v>
      </c>
      <c r="K15" s="30">
        <v>3.71000003814697</v>
      </c>
      <c r="L15" s="26"/>
      <c r="M15" s="26"/>
      <c r="N15" s="26"/>
    </row>
    <row r="16" ht="20.25" customHeight="1" spans="1:14">
      <c r="A16" s="26" t="s">
        <v>29</v>
      </c>
      <c r="C16" s="30" t="s">
        <v>37</v>
      </c>
      <c r="D16" s="30" t="s">
        <v>38</v>
      </c>
      <c r="E16" s="30" t="s">
        <v>32</v>
      </c>
      <c r="F16" s="26">
        <v>0.790000021457672</v>
      </c>
      <c r="G16" s="26" t="s">
        <v>39</v>
      </c>
      <c r="H16" s="26">
        <v>1.12000000476837</v>
      </c>
      <c r="I16" s="30">
        <v>2.32999992370605</v>
      </c>
      <c r="J16" s="30">
        <v>3.17000007629395</v>
      </c>
      <c r="K16" s="30">
        <v>3.00999999046326</v>
      </c>
      <c r="L16" s="26"/>
      <c r="M16" s="26"/>
      <c r="N16" s="26"/>
    </row>
    <row r="17" ht="20.25" customHeight="1" spans="1:14">
      <c r="A17" s="26" t="s">
        <v>29</v>
      </c>
      <c r="C17" s="30" t="s">
        <v>40</v>
      </c>
      <c r="D17" s="30" t="s">
        <v>41</v>
      </c>
      <c r="E17" s="30" t="s">
        <v>32</v>
      </c>
      <c r="F17" s="26">
        <v>0.899999976158142</v>
      </c>
      <c r="G17" s="26" t="s">
        <v>42</v>
      </c>
      <c r="H17" s="26">
        <v>1</v>
      </c>
      <c r="I17" s="30">
        <v>3.11999988555908</v>
      </c>
      <c r="J17" s="30">
        <v>3.33999991416931</v>
      </c>
      <c r="K17" s="30">
        <v>2.17000007629395</v>
      </c>
      <c r="L17" s="26"/>
      <c r="M17" s="26"/>
      <c r="N17" s="26"/>
    </row>
    <row r="18" spans="1:14">
      <c r="A18" s="26" t="s">
        <v>29</v>
      </c>
      <c r="C18" s="30" t="s">
        <v>32</v>
      </c>
      <c r="D18" s="30" t="s">
        <v>43</v>
      </c>
      <c r="E18" s="30" t="s">
        <v>44</v>
      </c>
      <c r="F18" s="26">
        <v>0.990000009536743</v>
      </c>
      <c r="G18" s="26" t="s">
        <v>45</v>
      </c>
      <c r="H18" s="26">
        <v>0.910000026226044</v>
      </c>
      <c r="I18" s="30">
        <v>1.74000000953674</v>
      </c>
      <c r="J18" s="30">
        <v>3.51999998092651</v>
      </c>
      <c r="K18" s="30">
        <v>4.51999998092651</v>
      </c>
      <c r="L18" s="26"/>
      <c r="M18" s="26"/>
      <c r="N18" s="26"/>
    </row>
    <row r="19" ht="20.25" customHeight="1" spans="1:14">
      <c r="A19" s="26" t="s">
        <v>29</v>
      </c>
      <c r="C19" s="30" t="s">
        <v>46</v>
      </c>
      <c r="D19" s="30" t="s">
        <v>43</v>
      </c>
      <c r="E19" s="30" t="s">
        <v>32</v>
      </c>
      <c r="F19" s="26">
        <v>1.05999994277954</v>
      </c>
      <c r="G19" s="26" t="s">
        <v>33</v>
      </c>
      <c r="H19" s="26">
        <v>0.839999973773956</v>
      </c>
      <c r="I19" s="30">
        <v>3.95000004768372</v>
      </c>
      <c r="J19" s="30">
        <v>3.39000010490417</v>
      </c>
      <c r="K19" s="30">
        <v>1.87999999523163</v>
      </c>
      <c r="L19" s="26"/>
      <c r="M19" s="26"/>
      <c r="N19" s="26"/>
    </row>
    <row r="20" ht="20.25" customHeight="1" spans="1:14">
      <c r="A20" s="26" t="s">
        <v>47</v>
      </c>
      <c r="C20" s="30" t="s">
        <v>48</v>
      </c>
      <c r="D20" s="30" t="s">
        <v>49</v>
      </c>
      <c r="E20" s="30" t="s">
        <v>32</v>
      </c>
      <c r="F20" s="26">
        <v>0.800000011920929</v>
      </c>
      <c r="G20" s="26" t="s">
        <v>50</v>
      </c>
      <c r="H20" s="26">
        <v>1.11000001430511</v>
      </c>
      <c r="I20" s="30">
        <v>5.65999984741211</v>
      </c>
      <c r="J20" s="30">
        <v>3.8199999332428</v>
      </c>
      <c r="K20" s="30">
        <v>1.54999995231628</v>
      </c>
      <c r="L20" s="26"/>
      <c r="M20" s="26"/>
      <c r="N20" s="26"/>
    </row>
    <row r="21" spans="1:14">
      <c r="A21" s="26" t="s">
        <v>29</v>
      </c>
      <c r="C21" s="30" t="s">
        <v>51</v>
      </c>
      <c r="D21" s="30" t="s">
        <v>52</v>
      </c>
      <c r="E21" s="30" t="s">
        <v>32</v>
      </c>
      <c r="F21" s="26">
        <v>0.930000007152557</v>
      </c>
      <c r="G21" s="26" t="s">
        <v>42</v>
      </c>
      <c r="H21" s="26">
        <v>0.970000028610229</v>
      </c>
      <c r="I21" s="30">
        <v>2.82999992370605</v>
      </c>
      <c r="J21" s="30">
        <v>3.25999999046326</v>
      </c>
      <c r="K21" s="30">
        <v>2.36999988555908</v>
      </c>
      <c r="L21" s="26"/>
      <c r="M21" s="26"/>
      <c r="N21" s="26"/>
    </row>
    <row r="22" spans="1:14">
      <c r="A22" s="26" t="s">
        <v>29</v>
      </c>
      <c r="C22" s="30" t="s">
        <v>32</v>
      </c>
      <c r="D22" s="30" t="s">
        <v>53</v>
      </c>
      <c r="E22" s="30" t="s">
        <v>54</v>
      </c>
      <c r="F22" s="26">
        <v>1.08000004291534</v>
      </c>
      <c r="G22" s="26" t="s">
        <v>36</v>
      </c>
      <c r="H22" s="26">
        <v>0.819999992847443</v>
      </c>
      <c r="I22" s="30">
        <v>2.01999998092651</v>
      </c>
      <c r="J22" s="30">
        <v>3.35999989509583</v>
      </c>
      <c r="K22" s="30">
        <v>3.46000003814697</v>
      </c>
      <c r="L22" s="26"/>
      <c r="M22" s="26"/>
      <c r="N22" s="26"/>
    </row>
    <row r="23" ht="15" customHeight="1" spans="1:14">
      <c r="A23" s="26" t="s">
        <v>29</v>
      </c>
      <c r="C23" s="30" t="s">
        <v>55</v>
      </c>
      <c r="D23" s="30" t="s">
        <v>56</v>
      </c>
      <c r="E23" s="30" t="s">
        <v>32</v>
      </c>
      <c r="F23" s="26">
        <v>1.08000004291534</v>
      </c>
      <c r="G23" s="26" t="s">
        <v>42</v>
      </c>
      <c r="H23" s="26">
        <v>0.819999992847443</v>
      </c>
      <c r="I23" s="30">
        <v>3.34999990463257</v>
      </c>
      <c r="J23" s="30">
        <v>3.3199999332428</v>
      </c>
      <c r="K23" s="30">
        <v>2.0699999332428</v>
      </c>
      <c r="L23" s="26"/>
      <c r="M23" s="26"/>
      <c r="N23" s="26"/>
    </row>
    <row r="24" spans="1:14">
      <c r="A24" s="26" t="s">
        <v>57</v>
      </c>
      <c r="B24" s="165"/>
      <c r="C24" s="26"/>
      <c r="D24" s="26"/>
      <c r="E24" s="26"/>
      <c r="F24" s="26"/>
      <c r="G24" s="26"/>
      <c r="H24" s="26"/>
      <c r="I24" s="30"/>
      <c r="J24" s="30"/>
      <c r="K24" s="30"/>
      <c r="L24" s="26"/>
      <c r="M24" s="26"/>
      <c r="N24" s="26"/>
    </row>
    <row r="25" spans="1:14">
      <c r="A25" s="26" t="s">
        <v>58</v>
      </c>
      <c r="B25" s="165"/>
      <c r="C25" s="26"/>
      <c r="D25" s="26"/>
      <c r="E25" s="26"/>
      <c r="F25" s="26"/>
      <c r="G25" s="26"/>
      <c r="H25" s="26"/>
      <c r="I25" s="30"/>
      <c r="J25" s="30"/>
      <c r="K25" s="30"/>
      <c r="L25" s="26"/>
      <c r="M25" s="26"/>
      <c r="N25" s="26"/>
    </row>
    <row r="26" spans="1:14">
      <c r="A26" s="26" t="s">
        <v>59</v>
      </c>
      <c r="B26" s="165"/>
      <c r="C26" s="26"/>
      <c r="D26" s="26"/>
      <c r="E26" s="26"/>
      <c r="F26" s="26"/>
      <c r="G26" s="26"/>
      <c r="H26" s="26"/>
      <c r="I26" s="30"/>
      <c r="J26" s="30"/>
      <c r="K26" s="30"/>
      <c r="L26" s="26"/>
      <c r="M26" s="26"/>
      <c r="N26" s="26"/>
    </row>
    <row r="27" spans="1:14">
      <c r="A27" s="26" t="s">
        <v>16</v>
      </c>
      <c r="B27" s="165" t="s">
        <v>17</v>
      </c>
      <c r="C27" s="26" t="s">
        <v>18</v>
      </c>
      <c r="D27" s="26" t="s">
        <v>19</v>
      </c>
      <c r="E27" s="26" t="s">
        <v>20</v>
      </c>
      <c r="F27" s="26" t="s">
        <v>21</v>
      </c>
      <c r="G27" s="26"/>
      <c r="H27" s="26"/>
      <c r="I27" s="30" t="s">
        <v>21</v>
      </c>
      <c r="J27" s="30"/>
      <c r="K27" s="30"/>
      <c r="L27" s="26" t="s">
        <v>22</v>
      </c>
      <c r="M27" s="26" t="s">
        <v>23</v>
      </c>
      <c r="N27" s="26" t="s">
        <v>24</v>
      </c>
    </row>
    <row r="28" spans="1:14">
      <c r="A28" s="26"/>
      <c r="B28" s="165"/>
      <c r="C28" s="26"/>
      <c r="D28" s="26"/>
      <c r="E28" s="26"/>
      <c r="F28" s="26" t="s">
        <v>25</v>
      </c>
      <c r="G28" s="26" t="s">
        <v>26</v>
      </c>
      <c r="H28" s="26" t="s">
        <v>27</v>
      </c>
      <c r="I28" s="30" t="s">
        <v>25</v>
      </c>
      <c r="J28" s="30" t="s">
        <v>28</v>
      </c>
      <c r="K28" s="30" t="s">
        <v>27</v>
      </c>
      <c r="L28" s="26"/>
      <c r="M28" s="26"/>
      <c r="N28" s="26"/>
    </row>
    <row r="29" spans="1:14">
      <c r="A29" s="26" t="s">
        <v>29</v>
      </c>
      <c r="C29" s="30" t="s">
        <v>60</v>
      </c>
      <c r="D29" s="30" t="s">
        <v>61</v>
      </c>
      <c r="E29" s="30" t="s">
        <v>55</v>
      </c>
      <c r="F29" s="26">
        <v>0.959999978542328</v>
      </c>
      <c r="G29" s="26" t="s">
        <v>36</v>
      </c>
      <c r="H29" s="26">
        <v>0.939999997615814</v>
      </c>
      <c r="I29" s="30">
        <v>1.98000001907349</v>
      </c>
      <c r="J29" s="30">
        <v>3.49000000953674</v>
      </c>
      <c r="K29" s="30">
        <v>3.45000004768372</v>
      </c>
      <c r="L29" s="26"/>
      <c r="M29" s="26"/>
      <c r="N29" s="26"/>
    </row>
    <row r="30" spans="1:14">
      <c r="A30" s="26" t="s">
        <v>29</v>
      </c>
      <c r="C30" s="30" t="s">
        <v>46</v>
      </c>
      <c r="D30" s="30" t="s">
        <v>62</v>
      </c>
      <c r="E30" s="30" t="s">
        <v>60</v>
      </c>
      <c r="F30" s="26">
        <v>1.04999995231628</v>
      </c>
      <c r="G30" s="26" t="s">
        <v>42</v>
      </c>
      <c r="H30" s="26">
        <v>0.850000023841858</v>
      </c>
      <c r="I30" s="30">
        <v>3.39000010490417</v>
      </c>
      <c r="J30" s="30">
        <v>3.32999992370605</v>
      </c>
      <c r="K30" s="30">
        <v>2.0699999332428</v>
      </c>
      <c r="L30" s="26"/>
      <c r="M30" s="26"/>
      <c r="N30" s="26"/>
    </row>
    <row r="31" spans="2:14">
      <c r="B31" s="26" t="s">
        <v>29</v>
      </c>
      <c r="C31" s="30" t="s">
        <v>60</v>
      </c>
      <c r="D31" s="30" t="s">
        <v>62</v>
      </c>
      <c r="E31" s="30" t="s">
        <v>63</v>
      </c>
      <c r="F31" s="26">
        <v>0.970000028610229</v>
      </c>
      <c r="G31" s="26" t="s">
        <v>36</v>
      </c>
      <c r="H31" s="26">
        <v>0.930000007152557</v>
      </c>
      <c r="I31" s="30">
        <v>1.80999994277954</v>
      </c>
      <c r="J31" s="30">
        <v>3.45000004768372</v>
      </c>
      <c r="K31" s="30">
        <v>4.23999977111816</v>
      </c>
      <c r="L31" s="26"/>
      <c r="M31" s="26"/>
      <c r="N31" s="26"/>
    </row>
    <row r="32" spans="1:14">
      <c r="A32" s="26" t="s">
        <v>64</v>
      </c>
      <c r="C32" s="30" t="s">
        <v>60</v>
      </c>
      <c r="D32" s="30" t="s">
        <v>65</v>
      </c>
      <c r="E32" s="30" t="s">
        <v>46</v>
      </c>
      <c r="F32" s="26">
        <v>0.860000014305115</v>
      </c>
      <c r="G32" s="26" t="s">
        <v>45</v>
      </c>
      <c r="H32" s="26">
        <v>1.03999996185303</v>
      </c>
      <c r="I32" s="30">
        <v>1.6599999666214</v>
      </c>
      <c r="J32" s="30">
        <v>3.80999994277954</v>
      </c>
      <c r="K32" s="30">
        <v>4.55999994277954</v>
      </c>
      <c r="L32" s="26"/>
      <c r="M32" s="26"/>
      <c r="N32" s="26"/>
    </row>
    <row r="33" spans="1:14">
      <c r="A33" s="26" t="s">
        <v>64</v>
      </c>
      <c r="C33" s="30" t="s">
        <v>46</v>
      </c>
      <c r="D33" s="30" t="s">
        <v>66</v>
      </c>
      <c r="E33" s="30" t="s">
        <v>60</v>
      </c>
      <c r="F33" s="26">
        <v>0.920000016689301</v>
      </c>
      <c r="G33" s="26" t="s">
        <v>42</v>
      </c>
      <c r="H33" s="26">
        <v>0.980000019073486</v>
      </c>
      <c r="I33" s="30">
        <v>3.14000010490417</v>
      </c>
      <c r="J33" s="30">
        <v>3.25</v>
      </c>
      <c r="K33" s="30">
        <v>2.1800000667572</v>
      </c>
      <c r="L33" s="26"/>
      <c r="M33" s="26"/>
      <c r="N33" s="26"/>
    </row>
    <row r="34" spans="1:14">
      <c r="A34" s="26" t="s">
        <v>29</v>
      </c>
      <c r="C34" s="30" t="s">
        <v>67</v>
      </c>
      <c r="D34" s="30" t="s">
        <v>68</v>
      </c>
      <c r="E34" s="30" t="s">
        <v>60</v>
      </c>
      <c r="F34" s="26">
        <v>0.970000028610229</v>
      </c>
      <c r="G34" s="26" t="s">
        <v>69</v>
      </c>
      <c r="H34" s="26">
        <v>0.910000026226044</v>
      </c>
      <c r="I34" s="30">
        <v>2.15000009536743</v>
      </c>
      <c r="J34" s="30">
        <v>3.34999990463257</v>
      </c>
      <c r="K34" s="30">
        <v>3.16000008583069</v>
      </c>
      <c r="L34" s="26"/>
      <c r="M34" s="26"/>
      <c r="N34" s="26"/>
    </row>
    <row r="35" spans="1:14">
      <c r="A35" s="26" t="s">
        <v>29</v>
      </c>
      <c r="C35" s="30" t="s">
        <v>60</v>
      </c>
      <c r="D35" s="30" t="s">
        <v>61</v>
      </c>
      <c r="E35" s="30" t="s">
        <v>37</v>
      </c>
      <c r="F35" s="26">
        <v>0.850000023841858</v>
      </c>
      <c r="G35" s="26" t="s">
        <v>39</v>
      </c>
      <c r="H35" s="26">
        <v>1.04999995231628</v>
      </c>
      <c r="I35" s="30">
        <v>2.44000005722046</v>
      </c>
      <c r="J35" s="30">
        <v>3.29999995231628</v>
      </c>
      <c r="K35" s="30">
        <v>2.71000003814697</v>
      </c>
      <c r="L35" s="26"/>
      <c r="M35" s="26"/>
      <c r="N35" s="26"/>
    </row>
    <row r="36" spans="1:14">
      <c r="A36" s="26" t="s">
        <v>47</v>
      </c>
      <c r="C36" s="30" t="s">
        <v>60</v>
      </c>
      <c r="D36" s="30" t="s">
        <v>43</v>
      </c>
      <c r="E36" s="30" t="s">
        <v>70</v>
      </c>
      <c r="F36" s="26">
        <v>0.939999997615814</v>
      </c>
      <c r="G36" s="26" t="s">
        <v>36</v>
      </c>
      <c r="H36" s="26">
        <v>0.959999978542328</v>
      </c>
      <c r="I36" s="30">
        <v>1.9099999666214</v>
      </c>
      <c r="J36" s="30">
        <v>3.3199999332428</v>
      </c>
      <c r="K36" s="30">
        <v>3.78999996185303</v>
      </c>
      <c r="L36" s="26"/>
      <c r="M36" s="26"/>
      <c r="N36" s="26"/>
    </row>
    <row r="37" customHeight="1" spans="1:14">
      <c r="A37" s="26" t="s">
        <v>29</v>
      </c>
      <c r="C37" s="30" t="s">
        <v>71</v>
      </c>
      <c r="D37" s="30" t="s">
        <v>72</v>
      </c>
      <c r="E37" s="30" t="s">
        <v>60</v>
      </c>
      <c r="F37" s="26">
        <v>0.980000019073486</v>
      </c>
      <c r="G37" s="26" t="s">
        <v>33</v>
      </c>
      <c r="H37" s="26">
        <v>0.920000016689301</v>
      </c>
      <c r="I37" s="30">
        <v>3.67000007629395</v>
      </c>
      <c r="J37" s="30">
        <v>3.38000011444092</v>
      </c>
      <c r="K37" s="30">
        <v>1.94000005722046</v>
      </c>
      <c r="L37" s="26"/>
      <c r="M37" s="26"/>
      <c r="N37" s="26"/>
    </row>
    <row r="38" ht="20.25" customHeight="1" spans="1:14">
      <c r="A38" s="26" t="s">
        <v>29</v>
      </c>
      <c r="C38" s="30" t="s">
        <v>60</v>
      </c>
      <c r="D38" s="30" t="s">
        <v>73</v>
      </c>
      <c r="E38" s="30" t="s">
        <v>35</v>
      </c>
      <c r="F38" s="26">
        <v>0.879999995231628</v>
      </c>
      <c r="G38" s="26" t="s">
        <v>36</v>
      </c>
      <c r="H38" s="26">
        <v>1.01999998092651</v>
      </c>
      <c r="I38" s="30">
        <v>1.88999998569489</v>
      </c>
      <c r="J38" s="30">
        <v>3.36999988555908</v>
      </c>
      <c r="K38" s="30">
        <v>3.91000008583069</v>
      </c>
      <c r="L38" s="26"/>
      <c r="M38" s="26"/>
      <c r="N38" s="26"/>
    </row>
    <row r="39" spans="1:14">
      <c r="A39" s="26" t="s">
        <v>74</v>
      </c>
      <c r="B39" s="16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ht="18.75" customHeight="1" spans="1:32">
      <c r="A40" s="166" t="s">
        <v>75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Z40" s="180"/>
      <c r="AA40" s="180"/>
      <c r="AB40" s="180"/>
      <c r="AC40" s="180"/>
      <c r="AD40" s="180"/>
      <c r="AE40" s="180"/>
      <c r="AF40" s="180"/>
    </row>
    <row r="41" spans="1:32">
      <c r="A41" s="167" t="s">
        <v>76</v>
      </c>
      <c r="B41" s="168" t="s">
        <v>77</v>
      </c>
      <c r="C41" s="168"/>
      <c r="D41" s="122" t="s">
        <v>78</v>
      </c>
      <c r="E41" s="122" t="s">
        <v>79</v>
      </c>
      <c r="F41" s="122" t="s">
        <v>80</v>
      </c>
      <c r="G41" s="122" t="s">
        <v>81</v>
      </c>
      <c r="H41" s="169" t="s">
        <v>82</v>
      </c>
      <c r="I41" s="169"/>
      <c r="J41" s="169"/>
      <c r="K41" s="169" t="s">
        <v>83</v>
      </c>
      <c r="L41" s="169"/>
      <c r="M41" s="169"/>
      <c r="U41" s="55">
        <f>SUMPRODUCT(P42:P51,U42:U51)/SUM(U42:U51)</f>
        <v>0.493622650737022</v>
      </c>
      <c r="V41" s="4">
        <f>1/(SUMPRODUCT(Q42:Q51,U42:U51)/SUM(U42:U51))</f>
        <v>0.87234107337811</v>
      </c>
      <c r="Z41" s="180"/>
      <c r="AA41" s="180"/>
      <c r="AB41" s="180"/>
      <c r="AC41" s="180"/>
      <c r="AD41" s="180"/>
      <c r="AE41" s="180"/>
      <c r="AF41" s="180"/>
    </row>
    <row r="42" ht="18.75" customHeight="1" spans="1:32">
      <c r="A42" s="170" t="str">
        <f t="shared" ref="A42:A51" si="0">IF(ISERROR(REPLACE(C14,SEARCH(MID(LEFT(A$10,FIND("近",A$10)-1),1,4),C14),0,""))=FALSE,"主场","客场")</f>
        <v>客场</v>
      </c>
      <c r="B42" s="122">
        <f t="shared" ref="B42:B51" si="1">VALUE(LEFT(LEFT(D14,FIND("(",D14)-1),FIND("-",LEFT(D14,FIND("(",D14)-1))-1))</f>
        <v>1</v>
      </c>
      <c r="C42" s="122">
        <f t="shared" ref="C42:C51" si="2">VALUE(RIGHT(LEFT(D14,FIND("(",D14)-1),LEN(LEFT(D14,FIND("(",D14)-1))-FIND("-",LEFT(D14,FIND("(",D14)-1))))</f>
        <v>2</v>
      </c>
      <c r="D42" s="122">
        <f t="shared" ref="D42:D51" si="3">IF(A42="主场",B42,0)</f>
        <v>0</v>
      </c>
      <c r="E42" s="122">
        <f t="shared" ref="E42:E51" si="4">IF(A42="主场",C42,0)</f>
        <v>0</v>
      </c>
      <c r="F42" s="122">
        <f t="shared" ref="F42:F51" si="5">IF(A42="客场",C42,0)</f>
        <v>2</v>
      </c>
      <c r="G42" s="122">
        <f t="shared" ref="G42:G51" si="6">IF(A42="客场",B42,0)</f>
        <v>1</v>
      </c>
      <c r="H42" s="171">
        <f>IF($A42="主场",IF(I14=0,0,1/I14),0)</f>
        <v>0</v>
      </c>
      <c r="I42" s="171">
        <f>IF($A42="主场",IF(J14=0,0,1/J14),0)</f>
        <v>0</v>
      </c>
      <c r="J42" s="171">
        <f>IF($A42="主场",IF(K14=0,0,1/K14),0)</f>
        <v>0</v>
      </c>
      <c r="K42" s="171">
        <f>IF($A42="客场",IF(I14=0,0,1/I14),0)</f>
        <v>0.297619056911155</v>
      </c>
      <c r="L42" s="171">
        <f>IF($A42="客场",IF(J14=0,0,1/J14),0)</f>
        <v>0.28328612127617</v>
      </c>
      <c r="M42" s="171">
        <f>IF($A42="客场",IF(K14=0,0,1/K14),0)</f>
        <v>0.5</v>
      </c>
      <c r="N42" s="176">
        <f>IF(A42="主场",IF(I14=0,0,1/I14),IF(K14=0,0,1/K14))</f>
        <v>0.5</v>
      </c>
      <c r="O42" s="176">
        <f>IF(A42="主场",IF(K14=0,0,1/K14),IF(I14=0,0,1/I14))</f>
        <v>0.297619056911155</v>
      </c>
      <c r="P42" s="177">
        <f t="shared" ref="P42:P51" si="7">D42+F42</f>
        <v>2</v>
      </c>
      <c r="Q42" s="178">
        <f t="shared" ref="Q42:Q51" si="8">E42+G42</f>
        <v>1</v>
      </c>
      <c r="R42" s="176">
        <f t="shared" ref="R42:R51" si="9">H42+K42</f>
        <v>0.297619056911155</v>
      </c>
      <c r="S42" s="176">
        <f t="shared" ref="S42:S51" si="10">I42+L42</f>
        <v>0.28328612127617</v>
      </c>
      <c r="T42" s="176">
        <f t="shared" ref="T42:T51" si="11">J42+M42</f>
        <v>0.5</v>
      </c>
      <c r="U42" s="179">
        <f t="shared" ref="U42:U51" si="12">IF(R42=MAX(R42:T42),MAX(R42:T42)/MEDIAN(R42:T42),MEDIAN(R42:T42)/MAX(R42:T42))</f>
        <v>0.59523811382231</v>
      </c>
      <c r="Z42" s="180"/>
      <c r="AA42" s="180"/>
      <c r="AB42" s="180"/>
      <c r="AC42" s="180"/>
      <c r="AD42" s="180"/>
      <c r="AE42" s="180"/>
      <c r="AF42" s="180"/>
    </row>
    <row r="43" ht="18.75" customHeight="1" spans="1:32">
      <c r="A43" s="170" t="str">
        <f t="shared" si="0"/>
        <v>主场</v>
      </c>
      <c r="B43" s="122">
        <f t="shared" si="1"/>
        <v>0</v>
      </c>
      <c r="C43" s="122">
        <f t="shared" si="2"/>
        <v>2</v>
      </c>
      <c r="D43" s="122">
        <f t="shared" si="3"/>
        <v>0</v>
      </c>
      <c r="E43" s="122">
        <f t="shared" si="4"/>
        <v>2</v>
      </c>
      <c r="F43" s="122">
        <f t="shared" si="5"/>
        <v>0</v>
      </c>
      <c r="G43" s="122">
        <f t="shared" si="6"/>
        <v>0</v>
      </c>
      <c r="H43" s="171">
        <f t="shared" ref="H43:H51" si="13">IF($A43="主场",IF(I15=0,0,1/I15),0)</f>
        <v>0.523560218573669</v>
      </c>
      <c r="I43" s="171">
        <f>IF($A43="主场",IF(J15=0,0,1/J15),0)</f>
        <v>0.288184435664258</v>
      </c>
      <c r="J43" s="171">
        <f t="shared" ref="J43:J51" si="14">IF($A43="主场",IF(K15=0,0,1/K15),0)</f>
        <v>0.269541776204258</v>
      </c>
      <c r="K43" s="171">
        <f t="shared" ref="K43:K51" si="15">IF($A43="客场",IF(I15=0,0,1/I15),0)</f>
        <v>0</v>
      </c>
      <c r="L43" s="171">
        <f t="shared" ref="L43:L51" si="16">IF($A43="客场",IF(J15=0,0,1/J15),0)</f>
        <v>0</v>
      </c>
      <c r="M43" s="171">
        <f t="shared" ref="M43:M51" si="17">IF($A43="客场",IF(K15=0,0,1/K15),0)</f>
        <v>0</v>
      </c>
      <c r="N43" s="176">
        <f t="shared" ref="N43:N51" si="18">IF(A43="主场",IF(I15=0,0,1/I15),IF(K15=0,0,1/K15))</f>
        <v>0.523560218573669</v>
      </c>
      <c r="O43" s="176">
        <f t="shared" ref="O43:O51" si="19">IF(A43="主场",IF(K15=0,0,1/K15),IF(I15=0,0,1/I15))</f>
        <v>0.269541776204258</v>
      </c>
      <c r="P43" s="177">
        <f t="shared" si="7"/>
        <v>0</v>
      </c>
      <c r="Q43" s="178">
        <f t="shared" si="8"/>
        <v>2</v>
      </c>
      <c r="R43" s="176">
        <f t="shared" si="9"/>
        <v>0.523560218573669</v>
      </c>
      <c r="S43" s="176">
        <f t="shared" si="10"/>
        <v>0.288184435664258</v>
      </c>
      <c r="T43" s="176">
        <f t="shared" si="11"/>
        <v>0.269541776204258</v>
      </c>
      <c r="U43" s="179">
        <f t="shared" si="12"/>
        <v>1.81675397342981</v>
      </c>
      <c r="Z43" s="180"/>
      <c r="AA43" s="180"/>
      <c r="AB43" s="180"/>
      <c r="AC43" s="180"/>
      <c r="AD43" s="180"/>
      <c r="AE43" s="180"/>
      <c r="AF43" s="180"/>
    </row>
    <row r="44" ht="18.75" customHeight="1" spans="1:32">
      <c r="A44" s="170" t="str">
        <f t="shared" si="0"/>
        <v>客场</v>
      </c>
      <c r="B44" s="122">
        <f t="shared" si="1"/>
        <v>1</v>
      </c>
      <c r="C44" s="122">
        <f t="shared" si="2"/>
        <v>1</v>
      </c>
      <c r="D44" s="122">
        <f t="shared" si="3"/>
        <v>0</v>
      </c>
      <c r="E44" s="122">
        <f t="shared" si="4"/>
        <v>0</v>
      </c>
      <c r="F44" s="122">
        <f t="shared" si="5"/>
        <v>1</v>
      </c>
      <c r="G44" s="122">
        <f t="shared" si="6"/>
        <v>1</v>
      </c>
      <c r="H44" s="171">
        <f t="shared" si="13"/>
        <v>0</v>
      </c>
      <c r="I44" s="171">
        <f t="shared" ref="I43:I51" si="20">IF($A44="主场",IF(J16=0,0,1/J16),0)</f>
        <v>0</v>
      </c>
      <c r="J44" s="171">
        <f t="shared" si="14"/>
        <v>0</v>
      </c>
      <c r="K44" s="171">
        <f t="shared" si="15"/>
        <v>0.429184563409522</v>
      </c>
      <c r="L44" s="171">
        <f t="shared" si="16"/>
        <v>0.315457405656943</v>
      </c>
      <c r="M44" s="171">
        <f t="shared" si="17"/>
        <v>0.332225914673871</v>
      </c>
      <c r="N44" s="176">
        <f t="shared" si="18"/>
        <v>0.332225914673871</v>
      </c>
      <c r="O44" s="176">
        <f t="shared" si="19"/>
        <v>0.429184563409522</v>
      </c>
      <c r="P44" s="177">
        <f t="shared" si="7"/>
        <v>1</v>
      </c>
      <c r="Q44" s="178">
        <f t="shared" si="8"/>
        <v>1</v>
      </c>
      <c r="R44" s="176">
        <f t="shared" si="9"/>
        <v>0.429184563409522</v>
      </c>
      <c r="S44" s="176">
        <f t="shared" si="10"/>
        <v>0.315457405656943</v>
      </c>
      <c r="T44" s="176">
        <f t="shared" si="11"/>
        <v>0.332225914673871</v>
      </c>
      <c r="U44" s="179">
        <f t="shared" si="12"/>
        <v>1.29184553176964</v>
      </c>
      <c r="Z44" s="180"/>
      <c r="AA44" s="180"/>
      <c r="AB44" s="180"/>
      <c r="AC44" s="180"/>
      <c r="AD44" s="180"/>
      <c r="AE44" s="180"/>
      <c r="AF44" s="180"/>
    </row>
    <row r="45" ht="18.75" customHeight="1" spans="1:32">
      <c r="A45" s="170" t="str">
        <f t="shared" si="0"/>
        <v>客场</v>
      </c>
      <c r="B45" s="122">
        <f t="shared" si="1"/>
        <v>1</v>
      </c>
      <c r="C45" s="122">
        <f t="shared" si="2"/>
        <v>0</v>
      </c>
      <c r="D45" s="122">
        <f t="shared" si="3"/>
        <v>0</v>
      </c>
      <c r="E45" s="122">
        <f t="shared" si="4"/>
        <v>0</v>
      </c>
      <c r="F45" s="122">
        <f t="shared" si="5"/>
        <v>0</v>
      </c>
      <c r="G45" s="122">
        <f t="shared" si="6"/>
        <v>1</v>
      </c>
      <c r="H45" s="171">
        <f t="shared" si="13"/>
        <v>0</v>
      </c>
      <c r="I45" s="171">
        <f t="shared" si="20"/>
        <v>0</v>
      </c>
      <c r="J45" s="171">
        <f t="shared" si="14"/>
        <v>0</v>
      </c>
      <c r="K45" s="171">
        <f t="shared" si="15"/>
        <v>0.320512832269161</v>
      </c>
      <c r="L45" s="171">
        <f t="shared" si="16"/>
        <v>0.299401205298746</v>
      </c>
      <c r="M45" s="171">
        <f t="shared" si="17"/>
        <v>0.460829476885483</v>
      </c>
      <c r="N45" s="176">
        <f t="shared" si="18"/>
        <v>0.460829476885483</v>
      </c>
      <c r="O45" s="176">
        <f t="shared" si="19"/>
        <v>0.320512832269161</v>
      </c>
      <c r="P45" s="177">
        <f t="shared" si="7"/>
        <v>0</v>
      </c>
      <c r="Q45" s="178">
        <f t="shared" si="8"/>
        <v>1</v>
      </c>
      <c r="R45" s="176">
        <f t="shared" si="9"/>
        <v>0.320512832269161</v>
      </c>
      <c r="S45" s="176">
        <f t="shared" si="10"/>
        <v>0.299401205298746</v>
      </c>
      <c r="T45" s="176">
        <f t="shared" si="11"/>
        <v>0.460829476885483</v>
      </c>
      <c r="U45" s="179">
        <f t="shared" si="12"/>
        <v>0.69551287047727</v>
      </c>
      <c r="Z45" s="180"/>
      <c r="AA45" s="180"/>
      <c r="AB45" s="180"/>
      <c r="AC45" s="180"/>
      <c r="AD45" s="180"/>
      <c r="AE45" s="180"/>
      <c r="AF45" s="180"/>
    </row>
    <row r="46" ht="18.75" customHeight="1" spans="1:32">
      <c r="A46" s="170" t="str">
        <f t="shared" si="0"/>
        <v>主场</v>
      </c>
      <c r="B46" s="122">
        <f t="shared" si="1"/>
        <v>0</v>
      </c>
      <c r="C46" s="122">
        <f t="shared" si="2"/>
        <v>0</v>
      </c>
      <c r="D46" s="122">
        <f t="shared" si="3"/>
        <v>0</v>
      </c>
      <c r="E46" s="122">
        <f t="shared" si="4"/>
        <v>0</v>
      </c>
      <c r="F46" s="122">
        <f t="shared" si="5"/>
        <v>0</v>
      </c>
      <c r="G46" s="122">
        <f t="shared" si="6"/>
        <v>0</v>
      </c>
      <c r="H46" s="171">
        <f t="shared" si="13"/>
        <v>0.574712640528227</v>
      </c>
      <c r="I46" s="171">
        <f t="shared" si="20"/>
        <v>0.284090910630286</v>
      </c>
      <c r="J46" s="171">
        <f t="shared" si="14"/>
        <v>0.221238938986681</v>
      </c>
      <c r="K46" s="171">
        <f t="shared" si="15"/>
        <v>0</v>
      </c>
      <c r="L46" s="171">
        <f t="shared" si="16"/>
        <v>0</v>
      </c>
      <c r="M46" s="171">
        <f t="shared" si="17"/>
        <v>0</v>
      </c>
      <c r="N46" s="176">
        <f t="shared" si="18"/>
        <v>0.574712640528227</v>
      </c>
      <c r="O46" s="176">
        <f t="shared" si="19"/>
        <v>0.221238938986681</v>
      </c>
      <c r="P46" s="177">
        <f t="shared" si="7"/>
        <v>0</v>
      </c>
      <c r="Q46" s="178">
        <f t="shared" si="8"/>
        <v>0</v>
      </c>
      <c r="R46" s="176">
        <f t="shared" si="9"/>
        <v>0.574712640528227</v>
      </c>
      <c r="S46" s="176">
        <f t="shared" si="10"/>
        <v>0.284090910630286</v>
      </c>
      <c r="T46" s="176">
        <f t="shared" si="11"/>
        <v>0.221238938986681</v>
      </c>
      <c r="U46" s="179">
        <f t="shared" si="12"/>
        <v>2.02298848369758</v>
      </c>
      <c r="Z46" s="180"/>
      <c r="AA46" s="180"/>
      <c r="AB46" s="180"/>
      <c r="AC46" s="180"/>
      <c r="AD46" s="180"/>
      <c r="AE46" s="180"/>
      <c r="AF46" s="180"/>
    </row>
    <row r="47" ht="18.75" customHeight="1" spans="1:32">
      <c r="A47" s="170" t="str">
        <f t="shared" si="0"/>
        <v>客场</v>
      </c>
      <c r="B47" s="122">
        <f t="shared" si="1"/>
        <v>0</v>
      </c>
      <c r="C47" s="122">
        <f t="shared" si="2"/>
        <v>0</v>
      </c>
      <c r="D47" s="122">
        <f t="shared" si="3"/>
        <v>0</v>
      </c>
      <c r="E47" s="122">
        <f t="shared" si="4"/>
        <v>0</v>
      </c>
      <c r="F47" s="122">
        <f t="shared" si="5"/>
        <v>0</v>
      </c>
      <c r="G47" s="122">
        <f t="shared" si="6"/>
        <v>0</v>
      </c>
      <c r="H47" s="171">
        <f t="shared" si="13"/>
        <v>0</v>
      </c>
      <c r="I47" s="171">
        <f t="shared" si="20"/>
        <v>0</v>
      </c>
      <c r="J47" s="171">
        <f t="shared" si="14"/>
        <v>0</v>
      </c>
      <c r="K47" s="171">
        <f t="shared" si="15"/>
        <v>0.253164553905866</v>
      </c>
      <c r="L47" s="171">
        <f t="shared" si="16"/>
        <v>0.294985241609091</v>
      </c>
      <c r="M47" s="171">
        <f t="shared" si="17"/>
        <v>0.531914894966153</v>
      </c>
      <c r="N47" s="176">
        <f t="shared" si="18"/>
        <v>0.531914894966153</v>
      </c>
      <c r="O47" s="176">
        <f t="shared" si="19"/>
        <v>0.253164553905866</v>
      </c>
      <c r="P47" s="177">
        <f t="shared" si="7"/>
        <v>0</v>
      </c>
      <c r="Q47" s="178">
        <f t="shared" si="8"/>
        <v>0</v>
      </c>
      <c r="R47" s="176">
        <f t="shared" si="9"/>
        <v>0.253164553905866</v>
      </c>
      <c r="S47" s="176">
        <f t="shared" si="10"/>
        <v>0.294985241609091</v>
      </c>
      <c r="T47" s="176">
        <f t="shared" si="11"/>
        <v>0.531914894966153</v>
      </c>
      <c r="U47" s="179">
        <f t="shared" si="12"/>
        <v>0.554572252818492</v>
      </c>
      <c r="Z47" s="180"/>
      <c r="AA47" s="180"/>
      <c r="AB47" s="180"/>
      <c r="AC47" s="180"/>
      <c r="AD47" s="180"/>
      <c r="AE47" s="180"/>
      <c r="AF47" s="180"/>
    </row>
    <row r="48" ht="18.75" customHeight="1" spans="1:32">
      <c r="A48" s="170" t="str">
        <f t="shared" si="0"/>
        <v>客场</v>
      </c>
      <c r="B48" s="122">
        <f t="shared" si="1"/>
        <v>1</v>
      </c>
      <c r="C48" s="122">
        <f t="shared" si="2"/>
        <v>1</v>
      </c>
      <c r="D48" s="122">
        <f t="shared" si="3"/>
        <v>0</v>
      </c>
      <c r="E48" s="122">
        <f t="shared" si="4"/>
        <v>0</v>
      </c>
      <c r="F48" s="122">
        <f t="shared" si="5"/>
        <v>1</v>
      </c>
      <c r="G48" s="122">
        <f t="shared" si="6"/>
        <v>1</v>
      </c>
      <c r="H48" s="171">
        <f t="shared" si="13"/>
        <v>0</v>
      </c>
      <c r="I48" s="171">
        <f t="shared" si="20"/>
        <v>0</v>
      </c>
      <c r="J48" s="171">
        <f t="shared" si="14"/>
        <v>0</v>
      </c>
      <c r="K48" s="171">
        <f t="shared" si="15"/>
        <v>0.176678449992755</v>
      </c>
      <c r="L48" s="171">
        <f t="shared" si="16"/>
        <v>0.261780109286834</v>
      </c>
      <c r="M48" s="171">
        <f t="shared" si="17"/>
        <v>0.645161310170123</v>
      </c>
      <c r="N48" s="176">
        <f t="shared" si="18"/>
        <v>0.645161310170123</v>
      </c>
      <c r="O48" s="176">
        <f t="shared" si="19"/>
        <v>0.176678449992755</v>
      </c>
      <c r="P48" s="177">
        <f t="shared" si="7"/>
        <v>1</v>
      </c>
      <c r="Q48" s="178">
        <f t="shared" si="8"/>
        <v>1</v>
      </c>
      <c r="R48" s="176">
        <f t="shared" si="9"/>
        <v>0.176678449992755</v>
      </c>
      <c r="S48" s="176">
        <f t="shared" si="10"/>
        <v>0.261780109286834</v>
      </c>
      <c r="T48" s="176">
        <f t="shared" si="11"/>
        <v>0.645161310170123</v>
      </c>
      <c r="U48" s="179">
        <f t="shared" si="12"/>
        <v>0.405759156911944</v>
      </c>
      <c r="Z48" s="180"/>
      <c r="AA48" s="180"/>
      <c r="AB48" s="180"/>
      <c r="AC48" s="180"/>
      <c r="AD48" s="180"/>
      <c r="AE48" s="180"/>
      <c r="AF48" s="180"/>
    </row>
    <row r="49" ht="18.75" customHeight="1" spans="1:32">
      <c r="A49" s="170" t="str">
        <f t="shared" si="0"/>
        <v>客场</v>
      </c>
      <c r="B49" s="122">
        <f t="shared" si="1"/>
        <v>3</v>
      </c>
      <c r="C49" s="122">
        <f t="shared" si="2"/>
        <v>2</v>
      </c>
      <c r="D49" s="122">
        <f t="shared" si="3"/>
        <v>0</v>
      </c>
      <c r="E49" s="122">
        <f t="shared" si="4"/>
        <v>0</v>
      </c>
      <c r="F49" s="122">
        <f t="shared" si="5"/>
        <v>2</v>
      </c>
      <c r="G49" s="122">
        <f t="shared" si="6"/>
        <v>3</v>
      </c>
      <c r="H49" s="171">
        <f t="shared" si="13"/>
        <v>0</v>
      </c>
      <c r="I49" s="171">
        <f t="shared" si="20"/>
        <v>0</v>
      </c>
      <c r="J49" s="171">
        <f t="shared" si="14"/>
        <v>0</v>
      </c>
      <c r="K49" s="171">
        <f t="shared" si="15"/>
        <v>0.35335689998551</v>
      </c>
      <c r="L49" s="171">
        <f t="shared" si="16"/>
        <v>0.306748467155025</v>
      </c>
      <c r="M49" s="171">
        <f t="shared" si="17"/>
        <v>0.421940948644435</v>
      </c>
      <c r="N49" s="176">
        <f t="shared" si="18"/>
        <v>0.421940948644435</v>
      </c>
      <c r="O49" s="176">
        <f t="shared" si="19"/>
        <v>0.35335689998551</v>
      </c>
      <c r="P49" s="177">
        <f t="shared" si="7"/>
        <v>2</v>
      </c>
      <c r="Q49" s="178">
        <f t="shared" si="8"/>
        <v>3</v>
      </c>
      <c r="R49" s="176">
        <f t="shared" si="9"/>
        <v>0.35335689998551</v>
      </c>
      <c r="S49" s="176">
        <f t="shared" si="10"/>
        <v>0.306748467155025</v>
      </c>
      <c r="T49" s="176">
        <f t="shared" si="11"/>
        <v>0.421940948644435</v>
      </c>
      <c r="U49" s="179">
        <f t="shared" si="12"/>
        <v>0.83745581252717</v>
      </c>
      <c r="Z49" s="180"/>
      <c r="AA49" s="180"/>
      <c r="AB49" s="180"/>
      <c r="AC49" s="180"/>
      <c r="AD49" s="180"/>
      <c r="AE49" s="180"/>
      <c r="AF49" s="180"/>
    </row>
    <row r="50" ht="18.75" customHeight="1" spans="1:32">
      <c r="A50" s="170" t="str">
        <f t="shared" si="0"/>
        <v>主场</v>
      </c>
      <c r="B50" s="122">
        <f t="shared" si="1"/>
        <v>0</v>
      </c>
      <c r="C50" s="122">
        <f t="shared" si="2"/>
        <v>1</v>
      </c>
      <c r="D50" s="122">
        <f t="shared" si="3"/>
        <v>0</v>
      </c>
      <c r="E50" s="122">
        <f t="shared" si="4"/>
        <v>1</v>
      </c>
      <c r="F50" s="122">
        <f t="shared" si="5"/>
        <v>0</v>
      </c>
      <c r="G50" s="122">
        <f t="shared" si="6"/>
        <v>0</v>
      </c>
      <c r="H50" s="171">
        <f t="shared" si="13"/>
        <v>0.495049509624912</v>
      </c>
      <c r="I50" s="171">
        <f t="shared" si="20"/>
        <v>0.297619056911155</v>
      </c>
      <c r="J50" s="171">
        <f t="shared" si="14"/>
        <v>0.289017337854007</v>
      </c>
      <c r="K50" s="171">
        <f t="shared" si="15"/>
        <v>0</v>
      </c>
      <c r="L50" s="171">
        <f t="shared" si="16"/>
        <v>0</v>
      </c>
      <c r="M50" s="171">
        <f t="shared" si="17"/>
        <v>0</v>
      </c>
      <c r="N50" s="176">
        <f t="shared" si="18"/>
        <v>0.495049509624912</v>
      </c>
      <c r="O50" s="176">
        <f t="shared" si="19"/>
        <v>0.289017337854007</v>
      </c>
      <c r="P50" s="177">
        <f t="shared" si="7"/>
        <v>0</v>
      </c>
      <c r="Q50" s="178">
        <f t="shared" si="8"/>
        <v>1</v>
      </c>
      <c r="R50" s="176">
        <f t="shared" si="9"/>
        <v>0.495049509624912</v>
      </c>
      <c r="S50" s="176">
        <f t="shared" si="10"/>
        <v>0.297619056911155</v>
      </c>
      <c r="T50" s="176">
        <f t="shared" si="11"/>
        <v>0.289017337854007</v>
      </c>
      <c r="U50" s="179">
        <f t="shared" si="12"/>
        <v>1.66336630040695</v>
      </c>
      <c r="Z50" s="180"/>
      <c r="AA50" s="180"/>
      <c r="AB50" s="180"/>
      <c r="AC50" s="180"/>
      <c r="AD50" s="180"/>
      <c r="AE50" s="180"/>
      <c r="AF50" s="180"/>
    </row>
    <row r="51" ht="18.75" customHeight="1" spans="1:32">
      <c r="A51" s="170" t="str">
        <f t="shared" si="0"/>
        <v>客场</v>
      </c>
      <c r="B51" s="122">
        <f t="shared" si="1"/>
        <v>2</v>
      </c>
      <c r="C51" s="122">
        <f t="shared" si="2"/>
        <v>1</v>
      </c>
      <c r="D51" s="122">
        <f t="shared" si="3"/>
        <v>0</v>
      </c>
      <c r="E51" s="122">
        <f t="shared" si="4"/>
        <v>0</v>
      </c>
      <c r="F51" s="122">
        <f t="shared" si="5"/>
        <v>1</v>
      </c>
      <c r="G51" s="122">
        <f t="shared" si="6"/>
        <v>2</v>
      </c>
      <c r="H51" s="171">
        <f t="shared" si="13"/>
        <v>0</v>
      </c>
      <c r="I51" s="171">
        <f t="shared" si="20"/>
        <v>0</v>
      </c>
      <c r="J51" s="171">
        <f t="shared" si="14"/>
        <v>0</v>
      </c>
      <c r="K51" s="171">
        <f t="shared" si="15"/>
        <v>0.298507471184445</v>
      </c>
      <c r="L51" s="171">
        <f t="shared" si="16"/>
        <v>0.301204825333612</v>
      </c>
      <c r="M51" s="171">
        <f t="shared" si="17"/>
        <v>0.483091803019254</v>
      </c>
      <c r="N51" s="176">
        <f t="shared" si="18"/>
        <v>0.483091803019254</v>
      </c>
      <c r="O51" s="176">
        <f t="shared" si="19"/>
        <v>0.298507471184445</v>
      </c>
      <c r="P51" s="177">
        <f t="shared" si="7"/>
        <v>1</v>
      </c>
      <c r="Q51" s="178">
        <f t="shared" si="8"/>
        <v>2</v>
      </c>
      <c r="R51" s="176">
        <f t="shared" si="9"/>
        <v>0.298507471184445</v>
      </c>
      <c r="S51" s="176">
        <f t="shared" si="10"/>
        <v>0.301204825333612</v>
      </c>
      <c r="T51" s="176">
        <f t="shared" si="11"/>
        <v>0.483091803019254</v>
      </c>
      <c r="U51" s="179">
        <f t="shared" si="12"/>
        <v>0.623493968332985</v>
      </c>
      <c r="Z51" s="180"/>
      <c r="AA51" s="180"/>
      <c r="AB51" s="180"/>
      <c r="AC51" s="180"/>
      <c r="AD51" s="180"/>
      <c r="AE51" s="180"/>
      <c r="AF51" s="180"/>
    </row>
    <row r="52" ht="18.75" customHeight="1" spans="1:32">
      <c r="A52" s="170">
        <f>(IF(COUNTIF(A42:A51,"=主场")=0,0.01,COUNTIF(A42:A51,"=主场")))</f>
        <v>3</v>
      </c>
      <c r="B52" s="172"/>
      <c r="C52" s="172"/>
      <c r="D52" s="173">
        <f>SUM(D42:D51)/(IF($A52=0,0.01,$A52))</f>
        <v>0</v>
      </c>
      <c r="E52" s="173">
        <f>IF(SUM(E42:E51)=0,0.01,SUM(E42:E51)/$A52)</f>
        <v>1</v>
      </c>
      <c r="F52" s="174">
        <f>SUM(F42:F51)/A53</f>
        <v>1</v>
      </c>
      <c r="G52" s="174">
        <f>SUM(G42:G51)/A53</f>
        <v>1.28571428571428</v>
      </c>
      <c r="H52" s="172"/>
      <c r="I52" s="172"/>
      <c r="J52" s="172"/>
      <c r="K52" s="173">
        <f>(SUM(J42:J51)+SUM(K42:K51))/10</f>
        <v>0.290882188070336</v>
      </c>
      <c r="L52" s="172"/>
      <c r="M52" s="172"/>
      <c r="N52" s="172"/>
      <c r="O52" s="172"/>
      <c r="P52" s="172">
        <f>SUMPRODUCT(P42:P51,O42:O51)/SUM(O42:O51)</f>
        <v>0.758493468787631</v>
      </c>
      <c r="Q52" s="172">
        <f>SUMPRODUCT(Q42:Q51,N42:N51)/SUM(N42:N51)</f>
        <v>1.14972494156605</v>
      </c>
      <c r="Z52" s="180"/>
      <c r="AA52" s="180"/>
      <c r="AB52" s="180"/>
      <c r="AC52" s="180"/>
      <c r="AD52" s="180"/>
      <c r="AE52" s="180"/>
      <c r="AF52" s="180"/>
    </row>
    <row r="53" ht="18.75" customHeight="1" spans="1:32">
      <c r="A53" s="170">
        <f>IF(COUNTIF(A42:A51,"=客场")=0,0.01,COUNTIF(A42:A51,"=客场"))</f>
        <v>7</v>
      </c>
      <c r="B53" s="172"/>
      <c r="C53" s="172"/>
      <c r="D53" s="173">
        <f>SUMPRODUCT(D42:D51,J42:J51)/(IF(SUM(J42:J51)=0,0.01,SUM(J42:J51)))</f>
        <v>0</v>
      </c>
      <c r="E53" s="173">
        <f>IF(SUM(E42:E51)=0,0.01,SUMPRODUCT(E42:E51,H42:H51)/SUM(H42:H51))</f>
        <v>0.967895748557504</v>
      </c>
      <c r="F53" s="174">
        <f>SUMPRODUCT(F42:F51,K42:K51)/IF(SUM(K42:K51)=0,0.01,SUM(K42:K51))</f>
        <v>1.03630704819619</v>
      </c>
      <c r="G53" s="174">
        <f>SUMPRODUCT(G42:G51,M42:M51)/IF(SUM(M42:M51)=0,0.01,SUM(M42:M51))</f>
        <v>1.23556150850208</v>
      </c>
      <c r="H53" s="175">
        <f>IF(SUM(H42:H51)/$A52=0,0.01,SUM(H42:H51)/$A52)</f>
        <v>0.531107456242269</v>
      </c>
      <c r="I53" s="175">
        <f>IF(SUM(I42:I51)/$A52=0,0.01,SUM(I42:I51)/$A52)</f>
        <v>0.289964801068566</v>
      </c>
      <c r="J53" s="175">
        <f>IF(SUM(J42:J51)/$A52=0,0.01,SUM(J42:J51)/$A52)</f>
        <v>0.259932684348315</v>
      </c>
      <c r="K53" s="175">
        <f>SUM(K42:K51)/$A53</f>
        <v>0.304146261094059</v>
      </c>
      <c r="L53" s="175">
        <f>SUM(L42:L51)/$A53</f>
        <v>0.294694767945203</v>
      </c>
      <c r="M53" s="175">
        <f>SUM(M42:M51)/$A53</f>
        <v>0.482166335479903</v>
      </c>
      <c r="N53" s="172"/>
      <c r="O53" s="172"/>
      <c r="P53" s="174">
        <f>AVERAGE(P42:P51)</f>
        <v>0.7</v>
      </c>
      <c r="Q53" s="174">
        <f>1/AVERAGE(Q42:Q51)</f>
        <v>0.833333333333333</v>
      </c>
      <c r="Z53" s="180"/>
      <c r="AA53" s="180"/>
      <c r="AB53" s="180"/>
      <c r="AC53" s="180"/>
      <c r="AD53" s="180"/>
      <c r="AE53" s="180"/>
      <c r="AF53" s="180"/>
    </row>
    <row r="54" spans="1:32">
      <c r="A54" s="162" t="s">
        <v>84</v>
      </c>
      <c r="B54" s="168" t="s">
        <v>77</v>
      </c>
      <c r="C54" s="168"/>
      <c r="D54" s="122" t="s">
        <v>78</v>
      </c>
      <c r="E54" s="122" t="s">
        <v>79</v>
      </c>
      <c r="F54" s="122" t="s">
        <v>80</v>
      </c>
      <c r="G54" s="122" t="s">
        <v>81</v>
      </c>
      <c r="H54" s="169" t="s">
        <v>82</v>
      </c>
      <c r="I54" s="169"/>
      <c r="J54" s="169"/>
      <c r="K54" s="169" t="s">
        <v>83</v>
      </c>
      <c r="L54" s="169"/>
      <c r="M54" s="169"/>
      <c r="O54" s="172"/>
      <c r="P54" s="172"/>
      <c r="Q54" s="172"/>
      <c r="U54" s="55">
        <f>SUMPRODUCT(P55:P64,U55:U64)/SUM(U55:U64)</f>
        <v>1.18797532494482</v>
      </c>
      <c r="V54" s="4">
        <f>1/(SUMPRODUCT(Q55:Q64,U55:U64)/SUM(U55:U64))</f>
        <v>0.910397127954442</v>
      </c>
      <c r="Z54" s="180"/>
      <c r="AA54" s="180"/>
      <c r="AB54" s="180"/>
      <c r="AC54" s="180"/>
      <c r="AD54" s="180"/>
      <c r="AE54" s="180"/>
      <c r="AF54" s="180"/>
    </row>
    <row r="55" ht="18.75" customHeight="1" spans="1:32">
      <c r="A55" s="170" t="str">
        <f t="shared" ref="A55:A64" si="21">IF(ISERROR(REPLACE(C29,SEARCH(MID(LEFT(A$25,FIND("近",A$25)-1),1,4),C29),0,""))=FALSE,"主场","客场")</f>
        <v>主场</v>
      </c>
      <c r="B55" s="122">
        <f t="shared" ref="B55:B64" si="22">VALUE(LEFT(LEFT(D29,FIND("(",D29)-1),FIND("-",LEFT(D29,FIND("(",D29)-1))-1))</f>
        <v>0</v>
      </c>
      <c r="C55" s="122">
        <f t="shared" ref="C55:C64" si="23">VALUE(RIGHT(LEFT(D29,FIND("(",D29)-1),LEN(LEFT(D29,FIND("(",D29)-1))-FIND("-",LEFT(D29,FIND("(",D29)-1))))</f>
        <v>1</v>
      </c>
      <c r="D55" s="122">
        <f t="shared" ref="D55:D64" si="24">IF(A55="主场",B55,0)</f>
        <v>0</v>
      </c>
      <c r="E55" s="122">
        <f t="shared" ref="E55:E64" si="25">IF(A55="主场",C55,0)</f>
        <v>1</v>
      </c>
      <c r="F55" s="122">
        <f t="shared" ref="F55:F64" si="26">IF(A55="客场",C55,0)</f>
        <v>0</v>
      </c>
      <c r="G55" s="122">
        <f t="shared" ref="G55:G64" si="27">IF(A55="客场",B55,0)</f>
        <v>0</v>
      </c>
      <c r="H55" s="171">
        <f>IF($A55="主场",IF(I29=0,0,1/I29),0)</f>
        <v>0.505050500185315</v>
      </c>
      <c r="I55" s="171">
        <f>IF($A55="主场",IF(J29=0,0,1/J29),0)</f>
        <v>0.286532950506421</v>
      </c>
      <c r="J55" s="171">
        <f>IF($A55="主场",IF(K29=0,0,1/K29),0)</f>
        <v>0.289855068457575</v>
      </c>
      <c r="K55" s="171">
        <f>IF($A55="客场",IF(I29=0,0,1/I29),0)</f>
        <v>0</v>
      </c>
      <c r="L55" s="171">
        <f>IF($A55="客场",IF(J29=0,0,1/J29),0)</f>
        <v>0</v>
      </c>
      <c r="M55" s="171">
        <f>IF($A55="客场",IF(K29=0,0,1/K29),0)</f>
        <v>0</v>
      </c>
      <c r="N55" s="176">
        <f>IF(A55="主场",IF(I29=0,0,1/I29),IF(K29=0,0,1/K29))</f>
        <v>0.505050500185315</v>
      </c>
      <c r="O55" s="176">
        <f>IF(A55="主场",IF(K29=0,0,1/K29),IF(I29=0,0,1/I29))</f>
        <v>0.289855068457575</v>
      </c>
      <c r="P55" s="177">
        <f t="shared" ref="P55:P64" si="28">D55+F55</f>
        <v>0</v>
      </c>
      <c r="Q55" s="178">
        <f t="shared" ref="Q55:Q64" si="29">E55+G55</f>
        <v>1</v>
      </c>
      <c r="R55" s="176">
        <f t="shared" ref="R55:R64" si="30">H55+K55</f>
        <v>0.505050500185315</v>
      </c>
      <c r="S55" s="176">
        <f t="shared" ref="S55:S64" si="31">I55+L55</f>
        <v>0.286532950506421</v>
      </c>
      <c r="T55" s="176">
        <f t="shared" ref="T55:T64" si="32">J55+M55</f>
        <v>0.289855068457575</v>
      </c>
      <c r="U55" s="179">
        <f t="shared" ref="U55:U64" si="33">IF(R55=MAX(R55:T55),MAX(R55:T55)/MEDIAN(R55:T55),MEDIAN(R55:T55)/MAX(R55:T55))</f>
        <v>1.74242424972202</v>
      </c>
      <c r="Z55" s="180"/>
      <c r="AA55" s="180"/>
      <c r="AB55" s="180"/>
      <c r="AC55" s="180"/>
      <c r="AD55" s="180"/>
      <c r="AE55" s="180"/>
      <c r="AF55" s="180"/>
    </row>
    <row r="56" ht="18.75" customHeight="1" spans="1:32">
      <c r="A56" s="170" t="str">
        <f t="shared" si="21"/>
        <v>客场</v>
      </c>
      <c r="B56" s="122">
        <f t="shared" si="22"/>
        <v>1</v>
      </c>
      <c r="C56" s="122">
        <f t="shared" si="23"/>
        <v>1</v>
      </c>
      <c r="D56" s="122">
        <f t="shared" si="24"/>
        <v>0</v>
      </c>
      <c r="E56" s="122">
        <f t="shared" si="25"/>
        <v>0</v>
      </c>
      <c r="F56" s="122">
        <f t="shared" si="26"/>
        <v>1</v>
      </c>
      <c r="G56" s="122">
        <f t="shared" si="27"/>
        <v>1</v>
      </c>
      <c r="H56" s="171">
        <f t="shared" ref="H56:H64" si="34">IF($A56="主场",IF(I30=0,0,1/I30),0)</f>
        <v>0</v>
      </c>
      <c r="I56" s="171">
        <f t="shared" ref="I56:I64" si="35">IF($A56="主场",IF(J30=0,0,1/J30),0)</f>
        <v>0</v>
      </c>
      <c r="J56" s="171">
        <f t="shared" ref="J56:J64" si="36">IF($A56="主场",IF(K30=0,0,1/K30),0)</f>
        <v>0</v>
      </c>
      <c r="K56" s="171">
        <f t="shared" ref="K56:K64" si="37">IF($A56="客场",IF(I30=0,0,1/I30),0)</f>
        <v>0.294985241609091</v>
      </c>
      <c r="L56" s="171">
        <f t="shared" ref="L56:L64" si="38">IF($A56="客场",IF(J30=0,0,1/J30),0)</f>
        <v>0.30030030718051</v>
      </c>
      <c r="M56" s="171">
        <f t="shared" ref="M56:M64" si="39">IF($A56="客场",IF(K30=0,0,1/K30),0)</f>
        <v>0.483091803019254</v>
      </c>
      <c r="N56" s="176">
        <f t="shared" ref="N56:N64" si="40">IF(A56="主场",IF(I30=0,0,1/I30),IF(K30=0,0,1/K30))</f>
        <v>0.483091803019254</v>
      </c>
      <c r="O56" s="176">
        <f t="shared" ref="O56:O64" si="41">IF(A56="主场",IF(K30=0,0,1/K30),IF(I30=0,0,1/I30))</f>
        <v>0.294985241609091</v>
      </c>
      <c r="P56" s="177">
        <f t="shared" si="28"/>
        <v>1</v>
      </c>
      <c r="Q56" s="178">
        <f t="shared" si="29"/>
        <v>1</v>
      </c>
      <c r="R56" s="176">
        <f t="shared" si="30"/>
        <v>0.294985241609091</v>
      </c>
      <c r="S56" s="176">
        <f t="shared" si="31"/>
        <v>0.30030030718051</v>
      </c>
      <c r="T56" s="176">
        <f t="shared" si="32"/>
        <v>0.483091803019254</v>
      </c>
      <c r="U56" s="179">
        <f t="shared" si="33"/>
        <v>0.621621615816447</v>
      </c>
      <c r="Z56" s="180"/>
      <c r="AA56" s="180"/>
      <c r="AB56" s="180"/>
      <c r="AC56" s="180"/>
      <c r="AD56" s="180"/>
      <c r="AE56" s="180"/>
      <c r="AF56" s="180"/>
    </row>
    <row r="57" ht="18.75" customHeight="1" spans="1:32">
      <c r="A57" s="170" t="str">
        <f t="shared" si="21"/>
        <v>主场</v>
      </c>
      <c r="B57" s="122">
        <f t="shared" si="22"/>
        <v>1</v>
      </c>
      <c r="C57" s="122">
        <f t="shared" si="23"/>
        <v>1</v>
      </c>
      <c r="D57" s="122">
        <f t="shared" si="24"/>
        <v>1</v>
      </c>
      <c r="E57" s="122">
        <f t="shared" si="25"/>
        <v>1</v>
      </c>
      <c r="F57" s="122">
        <f t="shared" si="26"/>
        <v>0</v>
      </c>
      <c r="G57" s="122">
        <f t="shared" si="27"/>
        <v>0</v>
      </c>
      <c r="H57" s="171">
        <f t="shared" si="34"/>
        <v>0.552486205311334</v>
      </c>
      <c r="I57" s="171">
        <f t="shared" si="35"/>
        <v>0.289855068457575</v>
      </c>
      <c r="J57" s="171">
        <f t="shared" si="36"/>
        <v>0.235849069335276</v>
      </c>
      <c r="K57" s="171">
        <f t="shared" si="37"/>
        <v>0</v>
      </c>
      <c r="L57" s="171">
        <f t="shared" si="38"/>
        <v>0</v>
      </c>
      <c r="M57" s="171">
        <f t="shared" si="39"/>
        <v>0</v>
      </c>
      <c r="N57" s="176">
        <f t="shared" si="40"/>
        <v>0.552486205311334</v>
      </c>
      <c r="O57" s="176">
        <f t="shared" si="41"/>
        <v>0.235849069335276</v>
      </c>
      <c r="P57" s="177">
        <f t="shared" si="28"/>
        <v>1</v>
      </c>
      <c r="Q57" s="178">
        <f t="shared" si="29"/>
        <v>1</v>
      </c>
      <c r="R57" s="176">
        <f t="shared" si="30"/>
        <v>0.552486205311334</v>
      </c>
      <c r="S57" s="176">
        <f t="shared" si="31"/>
        <v>0.289855068457575</v>
      </c>
      <c r="T57" s="176">
        <f t="shared" si="32"/>
        <v>0.235849069335276</v>
      </c>
      <c r="U57" s="179">
        <f t="shared" si="33"/>
        <v>1.9060774346687</v>
      </c>
      <c r="Z57" s="180"/>
      <c r="AA57" s="180"/>
      <c r="AB57" s="180"/>
      <c r="AC57" s="180"/>
      <c r="AD57" s="180"/>
      <c r="AE57" s="180"/>
      <c r="AF57" s="180"/>
    </row>
    <row r="58" ht="18.75" customHeight="1" spans="1:32">
      <c r="A58" s="170" t="str">
        <f t="shared" si="21"/>
        <v>主场</v>
      </c>
      <c r="B58" s="122">
        <f t="shared" si="22"/>
        <v>2</v>
      </c>
      <c r="C58" s="122">
        <f t="shared" si="23"/>
        <v>2</v>
      </c>
      <c r="D58" s="122">
        <f t="shared" si="24"/>
        <v>2</v>
      </c>
      <c r="E58" s="122">
        <f t="shared" si="25"/>
        <v>2</v>
      </c>
      <c r="F58" s="122">
        <f t="shared" si="26"/>
        <v>0</v>
      </c>
      <c r="G58" s="122">
        <f t="shared" si="27"/>
        <v>0</v>
      </c>
      <c r="H58" s="171">
        <f t="shared" si="34"/>
        <v>0.602409650667223</v>
      </c>
      <c r="I58" s="171">
        <f t="shared" si="35"/>
        <v>0.262467195542912</v>
      </c>
      <c r="J58" s="171">
        <f t="shared" si="36"/>
        <v>0.219298248365865</v>
      </c>
      <c r="K58" s="171">
        <f t="shared" si="37"/>
        <v>0</v>
      </c>
      <c r="L58" s="171">
        <f t="shared" si="38"/>
        <v>0</v>
      </c>
      <c r="M58" s="171">
        <f t="shared" si="39"/>
        <v>0</v>
      </c>
      <c r="N58" s="176">
        <f t="shared" si="40"/>
        <v>0.602409650667223</v>
      </c>
      <c r="O58" s="176">
        <f t="shared" si="41"/>
        <v>0.219298248365865</v>
      </c>
      <c r="P58" s="177">
        <f t="shared" si="28"/>
        <v>2</v>
      </c>
      <c r="Q58" s="178">
        <f t="shared" si="29"/>
        <v>2</v>
      </c>
      <c r="R58" s="176">
        <f t="shared" si="30"/>
        <v>0.602409650667223</v>
      </c>
      <c r="S58" s="176">
        <f t="shared" si="31"/>
        <v>0.262467195542912</v>
      </c>
      <c r="T58" s="176">
        <f t="shared" si="32"/>
        <v>0.219298248365865</v>
      </c>
      <c r="U58" s="179">
        <f t="shared" si="33"/>
        <v>2.29518073457196</v>
      </c>
      <c r="Z58" s="180"/>
      <c r="AA58" s="180"/>
      <c r="AB58" s="180"/>
      <c r="AC58" s="180"/>
      <c r="AD58" s="180"/>
      <c r="AE58" s="180"/>
      <c r="AF58" s="180"/>
    </row>
    <row r="59" ht="18.75" customHeight="1" spans="1:32">
      <c r="A59" s="170" t="str">
        <f t="shared" si="21"/>
        <v>客场</v>
      </c>
      <c r="B59" s="122">
        <f t="shared" si="22"/>
        <v>3</v>
      </c>
      <c r="C59" s="122">
        <f t="shared" si="23"/>
        <v>0</v>
      </c>
      <c r="D59" s="122">
        <f t="shared" si="24"/>
        <v>0</v>
      </c>
      <c r="E59" s="122">
        <f t="shared" si="25"/>
        <v>0</v>
      </c>
      <c r="F59" s="122">
        <f t="shared" si="26"/>
        <v>0</v>
      </c>
      <c r="G59" s="122">
        <f t="shared" si="27"/>
        <v>3</v>
      </c>
      <c r="H59" s="171">
        <f t="shared" si="34"/>
        <v>0</v>
      </c>
      <c r="I59" s="171">
        <f t="shared" si="35"/>
        <v>0</v>
      </c>
      <c r="J59" s="171">
        <f t="shared" si="36"/>
        <v>0</v>
      </c>
      <c r="K59" s="171">
        <f t="shared" si="37"/>
        <v>0.318471326939818</v>
      </c>
      <c r="L59" s="171">
        <f t="shared" si="38"/>
        <v>0.307692307692308</v>
      </c>
      <c r="M59" s="171">
        <f t="shared" si="39"/>
        <v>0.458715582283226</v>
      </c>
      <c r="N59" s="176">
        <f t="shared" si="40"/>
        <v>0.458715582283226</v>
      </c>
      <c r="O59" s="176">
        <f t="shared" si="41"/>
        <v>0.318471326939818</v>
      </c>
      <c r="P59" s="177">
        <f t="shared" si="28"/>
        <v>0</v>
      </c>
      <c r="Q59" s="178">
        <f t="shared" si="29"/>
        <v>3</v>
      </c>
      <c r="R59" s="176">
        <f t="shared" si="30"/>
        <v>0.318471326939818</v>
      </c>
      <c r="S59" s="176">
        <f t="shared" si="31"/>
        <v>0.307692307692308</v>
      </c>
      <c r="T59" s="176">
        <f t="shared" si="32"/>
        <v>0.458715582283226</v>
      </c>
      <c r="U59" s="179">
        <f t="shared" si="33"/>
        <v>0.694267513989058</v>
      </c>
      <c r="Z59" s="180"/>
      <c r="AA59" s="180"/>
      <c r="AB59" s="180"/>
      <c r="AC59" s="180"/>
      <c r="AD59" s="180"/>
      <c r="AE59" s="180"/>
      <c r="AF59" s="180"/>
    </row>
    <row r="60" ht="18.75" customHeight="1" spans="1:32">
      <c r="A60" s="170" t="str">
        <f t="shared" si="21"/>
        <v>客场</v>
      </c>
      <c r="B60" s="122">
        <f t="shared" si="22"/>
        <v>1</v>
      </c>
      <c r="C60" s="122">
        <f t="shared" si="23"/>
        <v>2</v>
      </c>
      <c r="D60" s="122">
        <f t="shared" si="24"/>
        <v>0</v>
      </c>
      <c r="E60" s="122">
        <f t="shared" si="25"/>
        <v>0</v>
      </c>
      <c r="F60" s="122">
        <f t="shared" si="26"/>
        <v>2</v>
      </c>
      <c r="G60" s="122">
        <f t="shared" si="27"/>
        <v>1</v>
      </c>
      <c r="H60" s="171">
        <f t="shared" si="34"/>
        <v>0</v>
      </c>
      <c r="I60" s="171">
        <f t="shared" si="35"/>
        <v>0</v>
      </c>
      <c r="J60" s="171">
        <f t="shared" si="36"/>
        <v>0</v>
      </c>
      <c r="K60" s="171">
        <f t="shared" si="37"/>
        <v>0.465116258438632</v>
      </c>
      <c r="L60" s="171">
        <f t="shared" si="38"/>
        <v>0.298507471184445</v>
      </c>
      <c r="M60" s="171">
        <f t="shared" si="39"/>
        <v>0.316455687607085</v>
      </c>
      <c r="N60" s="176">
        <f t="shared" si="40"/>
        <v>0.316455687607085</v>
      </c>
      <c r="O60" s="176">
        <f t="shared" si="41"/>
        <v>0.465116258438632</v>
      </c>
      <c r="P60" s="177">
        <f t="shared" si="28"/>
        <v>2</v>
      </c>
      <c r="Q60" s="178">
        <f t="shared" si="29"/>
        <v>1</v>
      </c>
      <c r="R60" s="176">
        <f t="shared" si="30"/>
        <v>0.465116258438632</v>
      </c>
      <c r="S60" s="176">
        <f t="shared" si="31"/>
        <v>0.298507471184445</v>
      </c>
      <c r="T60" s="176">
        <f t="shared" si="32"/>
        <v>0.316455687607085</v>
      </c>
      <c r="U60" s="179">
        <f t="shared" si="33"/>
        <v>1.46976741658732</v>
      </c>
      <c r="Z60" s="180"/>
      <c r="AA60" s="180"/>
      <c r="AB60" s="180"/>
      <c r="AC60" s="180"/>
      <c r="AD60" s="180"/>
      <c r="AE60" s="180"/>
      <c r="AF60" s="180"/>
    </row>
    <row r="61" ht="18.75" customHeight="1" spans="1:32">
      <c r="A61" s="170" t="str">
        <f t="shared" si="21"/>
        <v>主场</v>
      </c>
      <c r="B61" s="122">
        <f t="shared" si="22"/>
        <v>0</v>
      </c>
      <c r="C61" s="122">
        <f t="shared" si="23"/>
        <v>1</v>
      </c>
      <c r="D61" s="122">
        <f t="shared" si="24"/>
        <v>0</v>
      </c>
      <c r="E61" s="122">
        <f t="shared" si="25"/>
        <v>1</v>
      </c>
      <c r="F61" s="122">
        <f t="shared" si="26"/>
        <v>0</v>
      </c>
      <c r="G61" s="122">
        <f t="shared" si="27"/>
        <v>0</v>
      </c>
      <c r="H61" s="171">
        <f t="shared" si="34"/>
        <v>0.409836055962702</v>
      </c>
      <c r="I61" s="171">
        <f t="shared" si="35"/>
        <v>0.303030307408973</v>
      </c>
      <c r="J61" s="171">
        <f t="shared" si="36"/>
        <v>0.369003684842667</v>
      </c>
      <c r="K61" s="171">
        <f t="shared" si="37"/>
        <v>0</v>
      </c>
      <c r="L61" s="171">
        <f t="shared" si="38"/>
        <v>0</v>
      </c>
      <c r="M61" s="171">
        <f t="shared" si="39"/>
        <v>0</v>
      </c>
      <c r="N61" s="176">
        <f t="shared" si="40"/>
        <v>0.409836055962702</v>
      </c>
      <c r="O61" s="176">
        <f t="shared" si="41"/>
        <v>0.369003684842667</v>
      </c>
      <c r="P61" s="177">
        <f t="shared" si="28"/>
        <v>0</v>
      </c>
      <c r="Q61" s="178">
        <f t="shared" si="29"/>
        <v>1</v>
      </c>
      <c r="R61" s="176">
        <f t="shared" si="30"/>
        <v>0.409836055962702</v>
      </c>
      <c r="S61" s="176">
        <f t="shared" si="31"/>
        <v>0.303030307408973</v>
      </c>
      <c r="T61" s="176">
        <f t="shared" si="32"/>
        <v>0.369003684842667</v>
      </c>
      <c r="U61" s="179">
        <f t="shared" si="33"/>
        <v>1.11065572729293</v>
      </c>
      <c r="Z61" s="180"/>
      <c r="AA61" s="180"/>
      <c r="AB61" s="180"/>
      <c r="AC61" s="180"/>
      <c r="AD61" s="180"/>
      <c r="AE61" s="180"/>
      <c r="AF61" s="180"/>
    </row>
    <row r="62" ht="18.75" customHeight="1" spans="1:32">
      <c r="A62" s="170" t="str">
        <f t="shared" si="21"/>
        <v>主场</v>
      </c>
      <c r="B62" s="122">
        <f t="shared" si="22"/>
        <v>0</v>
      </c>
      <c r="C62" s="122">
        <f t="shared" si="23"/>
        <v>0</v>
      </c>
      <c r="D62" s="122">
        <f t="shared" si="24"/>
        <v>0</v>
      </c>
      <c r="E62" s="122">
        <f t="shared" si="25"/>
        <v>0</v>
      </c>
      <c r="F62" s="122">
        <f t="shared" si="26"/>
        <v>0</v>
      </c>
      <c r="G62" s="122">
        <f t="shared" si="27"/>
        <v>0</v>
      </c>
      <c r="H62" s="171">
        <f t="shared" si="34"/>
        <v>0.523560218573669</v>
      </c>
      <c r="I62" s="171">
        <f t="shared" si="35"/>
        <v>0.301204825333612</v>
      </c>
      <c r="J62" s="171">
        <f t="shared" si="36"/>
        <v>0.263852245399779</v>
      </c>
      <c r="K62" s="171">
        <f t="shared" si="37"/>
        <v>0</v>
      </c>
      <c r="L62" s="171">
        <f t="shared" si="38"/>
        <v>0</v>
      </c>
      <c r="M62" s="171">
        <f t="shared" si="39"/>
        <v>0</v>
      </c>
      <c r="N62" s="176">
        <f t="shared" si="40"/>
        <v>0.523560218573669</v>
      </c>
      <c r="O62" s="176">
        <f t="shared" si="41"/>
        <v>0.263852245399779</v>
      </c>
      <c r="P62" s="177">
        <f t="shared" si="28"/>
        <v>0</v>
      </c>
      <c r="Q62" s="178">
        <f t="shared" si="29"/>
        <v>0</v>
      </c>
      <c r="R62" s="176">
        <f t="shared" si="30"/>
        <v>0.523560218573669</v>
      </c>
      <c r="S62" s="176">
        <f t="shared" si="31"/>
        <v>0.301204825333612</v>
      </c>
      <c r="T62" s="176">
        <f t="shared" si="32"/>
        <v>0.263852245399779</v>
      </c>
      <c r="U62" s="179">
        <f t="shared" si="33"/>
        <v>1.73821989071317</v>
      </c>
      <c r="Z62" s="180"/>
      <c r="AA62" s="180"/>
      <c r="AB62" s="180"/>
      <c r="AC62" s="180"/>
      <c r="AD62" s="180"/>
      <c r="AE62" s="180"/>
      <c r="AF62" s="180"/>
    </row>
    <row r="63" ht="18.75" customHeight="1" spans="1:32">
      <c r="A63" s="170" t="str">
        <f t="shared" si="21"/>
        <v>客场</v>
      </c>
      <c r="B63" s="122">
        <f t="shared" si="22"/>
        <v>0</v>
      </c>
      <c r="C63" s="122">
        <f t="shared" si="23"/>
        <v>2</v>
      </c>
      <c r="D63" s="122">
        <f t="shared" si="24"/>
        <v>0</v>
      </c>
      <c r="E63" s="122">
        <f t="shared" si="25"/>
        <v>0</v>
      </c>
      <c r="F63" s="122">
        <f t="shared" si="26"/>
        <v>2</v>
      </c>
      <c r="G63" s="122">
        <f t="shared" si="27"/>
        <v>0</v>
      </c>
      <c r="H63" s="171">
        <f t="shared" si="34"/>
        <v>0</v>
      </c>
      <c r="I63" s="171">
        <f t="shared" si="35"/>
        <v>0</v>
      </c>
      <c r="J63" s="171">
        <f t="shared" si="36"/>
        <v>0</v>
      </c>
      <c r="K63" s="171">
        <f t="shared" si="37"/>
        <v>0.272479558368245</v>
      </c>
      <c r="L63" s="171">
        <f t="shared" si="38"/>
        <v>0.295857978148444</v>
      </c>
      <c r="M63" s="171">
        <f t="shared" si="39"/>
        <v>0.515463902322123</v>
      </c>
      <c r="N63" s="176">
        <f t="shared" si="40"/>
        <v>0.515463902322123</v>
      </c>
      <c r="O63" s="176">
        <f t="shared" si="41"/>
        <v>0.272479558368245</v>
      </c>
      <c r="P63" s="177">
        <f t="shared" si="28"/>
        <v>2</v>
      </c>
      <c r="Q63" s="178">
        <f t="shared" si="29"/>
        <v>0</v>
      </c>
      <c r="R63" s="176">
        <f t="shared" si="30"/>
        <v>0.272479558368245</v>
      </c>
      <c r="S63" s="176">
        <f t="shared" si="31"/>
        <v>0.295857978148444</v>
      </c>
      <c r="T63" s="176">
        <f t="shared" si="32"/>
        <v>0.515463902322123</v>
      </c>
      <c r="U63" s="179">
        <f t="shared" si="33"/>
        <v>0.573964494537111</v>
      </c>
      <c r="Z63" s="180"/>
      <c r="AA63" s="180"/>
      <c r="AB63" s="180"/>
      <c r="AC63" s="180"/>
      <c r="AD63" s="180"/>
      <c r="AE63" s="180"/>
      <c r="AF63" s="180"/>
    </row>
    <row r="64" ht="18.75" customHeight="1" spans="1:32">
      <c r="A64" s="170" t="str">
        <f t="shared" si="21"/>
        <v>主场</v>
      </c>
      <c r="B64" s="122">
        <f t="shared" si="22"/>
        <v>3</v>
      </c>
      <c r="C64" s="122">
        <f t="shared" si="23"/>
        <v>1</v>
      </c>
      <c r="D64" s="122">
        <f t="shared" si="24"/>
        <v>3</v>
      </c>
      <c r="E64" s="122">
        <f t="shared" si="25"/>
        <v>1</v>
      </c>
      <c r="F64" s="122">
        <f t="shared" si="26"/>
        <v>0</v>
      </c>
      <c r="G64" s="122">
        <f t="shared" si="27"/>
        <v>0</v>
      </c>
      <c r="H64" s="171">
        <f t="shared" si="34"/>
        <v>0.529100533105207</v>
      </c>
      <c r="I64" s="171">
        <f t="shared" si="35"/>
        <v>0.296735915121285</v>
      </c>
      <c r="J64" s="171">
        <f t="shared" si="36"/>
        <v>0.255754470089109</v>
      </c>
      <c r="K64" s="171">
        <f t="shared" si="37"/>
        <v>0</v>
      </c>
      <c r="L64" s="171">
        <f t="shared" si="38"/>
        <v>0</v>
      </c>
      <c r="M64" s="171">
        <f t="shared" si="39"/>
        <v>0</v>
      </c>
      <c r="N64" s="176">
        <f t="shared" si="40"/>
        <v>0.529100533105207</v>
      </c>
      <c r="O64" s="176">
        <f t="shared" si="41"/>
        <v>0.255754470089109</v>
      </c>
      <c r="P64" s="177">
        <f t="shared" si="28"/>
        <v>3</v>
      </c>
      <c r="Q64" s="178">
        <f t="shared" si="29"/>
        <v>1</v>
      </c>
      <c r="R64" s="176">
        <f t="shared" si="30"/>
        <v>0.529100533105207</v>
      </c>
      <c r="S64" s="176">
        <f t="shared" si="31"/>
        <v>0.296735915121285</v>
      </c>
      <c r="T64" s="176">
        <f t="shared" si="32"/>
        <v>0.255754470089109</v>
      </c>
      <c r="U64" s="179">
        <f t="shared" si="33"/>
        <v>1.7830687360138</v>
      </c>
      <c r="Z64" s="180"/>
      <c r="AA64" s="180"/>
      <c r="AB64" s="180"/>
      <c r="AC64" s="180"/>
      <c r="AD64" s="180"/>
      <c r="AE64" s="180"/>
      <c r="AF64" s="180"/>
    </row>
    <row r="65" ht="18.75" customHeight="1" spans="1:32">
      <c r="A65" s="170">
        <f>IF(COUNTIF(A55:A64,"=主场")=0,0.01,COUNTIF(A55:A64,"=主场"))</f>
        <v>6</v>
      </c>
      <c r="B65" s="172"/>
      <c r="C65" s="172"/>
      <c r="D65" s="173">
        <f>SUM(D55:D64)/A65</f>
        <v>1</v>
      </c>
      <c r="E65" s="173">
        <f>IF(SUM(E55:E64)=0,0.01,SUM(E55:E64)/$A65)</f>
        <v>1</v>
      </c>
      <c r="F65" s="174">
        <f>SUM(F55:F64)/A66</f>
        <v>1.25</v>
      </c>
      <c r="G65" s="174">
        <f>SUM(G55:G64)/A66</f>
        <v>1.25</v>
      </c>
      <c r="H65" s="172"/>
      <c r="I65" s="172"/>
      <c r="J65" s="172"/>
      <c r="K65" s="173">
        <f>(SUM(J55:J64)+SUM(K55:K64))/10</f>
        <v>0.298466517184606</v>
      </c>
      <c r="L65" s="172"/>
      <c r="M65" s="172"/>
      <c r="N65" s="172"/>
      <c r="O65" s="172"/>
      <c r="P65" s="172">
        <f>SUMPRODUCT(P55:P64,O55:O64)/SUM(O55:O64)</f>
        <v>1.0761293701734</v>
      </c>
      <c r="Q65" s="172">
        <f>SUMPRODUCT(Q55:Q64,N55:N64)/SUM(N55:N64)</f>
        <v>1.09820261156865</v>
      </c>
      <c r="Z65" s="180"/>
      <c r="AA65" s="180"/>
      <c r="AB65" s="180"/>
      <c r="AC65" s="180"/>
      <c r="AD65" s="180"/>
      <c r="AE65" s="180"/>
      <c r="AF65" s="180"/>
    </row>
    <row r="66" ht="18.75" customHeight="1" spans="1:32">
      <c r="A66" s="170">
        <f>IF(COUNTIF(A55:A64,"=客场")=0,0.01,COUNTIF(A55:A64,"=客场"))</f>
        <v>4</v>
      </c>
      <c r="B66" s="172"/>
      <c r="C66" s="172"/>
      <c r="D66" s="173">
        <f>SUMPRODUCT(D55:D64,J55:J64)/SUM(J55:J64)</f>
        <v>0.882527970065519</v>
      </c>
      <c r="E66" s="173">
        <f>IF(SUM(E55:E64)=0,0.01,SUMPRODUCT(E55:E64,H55:H64)/SUM(H55:H64))</f>
        <v>1.02525247953511</v>
      </c>
      <c r="F66" s="174">
        <f>SUMPRODUCT(F55:F64,K55:K64)/IF(SUM(K55:K64)=0,0.01,SUM(K55:K64))</f>
        <v>1.31022075413951</v>
      </c>
      <c r="G66" s="174">
        <f>SUMPRODUCT(G55:G64,M55:M64)/IF(SUM(M55:M64)=0,0.01,SUM(M55:M64))</f>
        <v>1.22662296275436</v>
      </c>
      <c r="H66" s="175">
        <f>SUM(H55:H64)/$A65</f>
        <v>0.520407193967575</v>
      </c>
      <c r="I66" s="175">
        <f>SUM(I55:I64)/$A65</f>
        <v>0.289971043728463</v>
      </c>
      <c r="J66" s="175">
        <f>SUM(J55:J64)/$A65</f>
        <v>0.272268797748379</v>
      </c>
      <c r="K66" s="175">
        <f>SUM(K55:K64)/$A66</f>
        <v>0.337763096338946</v>
      </c>
      <c r="L66" s="175">
        <f>SUM(L55:L64)/$A66</f>
        <v>0.300589516051427</v>
      </c>
      <c r="M66" s="175">
        <f>SUM(M55:M64)/$A66</f>
        <v>0.443431743807922</v>
      </c>
      <c r="N66" s="172"/>
      <c r="O66" s="172"/>
      <c r="P66" s="174">
        <f>AVERAGE(P55:P64)</f>
        <v>1.1</v>
      </c>
      <c r="Q66" s="174">
        <f>1/AVERAGE(Q55:Q64)</f>
        <v>0.909090909090909</v>
      </c>
      <c r="Z66" s="180"/>
      <c r="AA66" s="180"/>
      <c r="AB66" s="180"/>
      <c r="AC66" s="180"/>
      <c r="AD66" s="180"/>
      <c r="AE66" s="180"/>
      <c r="AF66" s="180"/>
    </row>
    <row r="67" spans="26:32">
      <c r="Z67" s="180"/>
      <c r="AA67" s="180"/>
      <c r="AB67" s="180"/>
      <c r="AC67" s="180"/>
      <c r="AD67" s="180"/>
      <c r="AE67" s="180"/>
      <c r="AF67" s="180"/>
    </row>
    <row r="68" spans="26:32">
      <c r="Z68" s="180"/>
      <c r="AA68" s="180"/>
      <c r="AB68" s="180"/>
      <c r="AC68" s="180"/>
      <c r="AD68" s="180"/>
      <c r="AE68" s="180"/>
      <c r="AF68" s="180"/>
    </row>
    <row r="69" spans="17:32">
      <c r="Q69" s="191" t="s">
        <v>85</v>
      </c>
      <c r="R69" s="191"/>
      <c r="S69" s="191"/>
      <c r="T69" s="191"/>
      <c r="U69" s="191"/>
      <c r="V69" s="191"/>
      <c r="W69" s="191"/>
      <c r="X69" s="191"/>
      <c r="Y69" s="191"/>
      <c r="Z69" s="180"/>
      <c r="AA69" s="180"/>
      <c r="AB69" s="180"/>
      <c r="AC69" s="180"/>
      <c r="AD69" s="180"/>
      <c r="AE69" s="180"/>
      <c r="AF69" s="180"/>
    </row>
    <row r="70" spans="8:32">
      <c r="H70" s="181"/>
      <c r="Q70" s="26" t="s">
        <v>86</v>
      </c>
      <c r="R70" s="26" t="s">
        <v>87</v>
      </c>
      <c r="S70" s="30" t="s">
        <v>86</v>
      </c>
      <c r="T70" s="26" t="s">
        <v>87</v>
      </c>
      <c r="U70" s="192" t="s">
        <v>88</v>
      </c>
      <c r="V70" s="192" t="s">
        <v>89</v>
      </c>
      <c r="W70" s="193" t="s">
        <v>90</v>
      </c>
      <c r="X70" s="193" t="s">
        <v>91</v>
      </c>
      <c r="Y70" s="91"/>
      <c r="Z70" s="180"/>
      <c r="AA70" s="180"/>
      <c r="AB70" s="180"/>
      <c r="AC70" s="180"/>
      <c r="AD70" s="180"/>
      <c r="AE70" s="180"/>
      <c r="AF70" s="180"/>
    </row>
    <row r="71" spans="1:32">
      <c r="A71" t="str">
        <f>LEFT(A$10,FIND("近",A$10)-1)&amp;RIGHT(LEFT(A24,FIND("率",A24)),LEN(LEFT(A24,FIND("率",A24)))-FIND(",",LEFT(A24,FIND("率",A24))))</f>
        <v>FC东京胜3平4负3, 胜率</v>
      </c>
      <c r="Q71" s="194">
        <f>J53</f>
        <v>0.259932684348315</v>
      </c>
      <c r="R71" s="194">
        <f>K66</f>
        <v>0.337763096338946</v>
      </c>
      <c r="S71" s="194">
        <f>K52</f>
        <v>0.290882188070336</v>
      </c>
      <c r="T71" s="194">
        <f>K65</f>
        <v>0.298466517184606</v>
      </c>
      <c r="U71" s="194">
        <f>U73/(U73+V73)</f>
        <v>0.413432915300005</v>
      </c>
      <c r="V71" s="194">
        <f>1-U71</f>
        <v>0.586567084699995</v>
      </c>
      <c r="W71" s="194">
        <f>D53/(D53+F66)</f>
        <v>0</v>
      </c>
      <c r="X71" s="194">
        <f>1-W71</f>
        <v>1</v>
      </c>
      <c r="Y71" s="91"/>
      <c r="Z71" s="180"/>
      <c r="AA71" s="180"/>
      <c r="AB71" s="180"/>
      <c r="AC71" s="180"/>
      <c r="AD71" s="180"/>
      <c r="AE71" s="180"/>
      <c r="AF71" s="180"/>
    </row>
    <row r="72" spans="1:32">
      <c r="A72" t="str">
        <f>LEFT(A$25,FIND("近",A$25)-1)&amp;RIGHT(LEFT(A39,FIND("率",A39)),LEN(LEFT(A39,FIND("率",A39)))-FIND(",",LEFT(A39,FIND("率",A39))))</f>
        <v>大阪樱花胜4平5负1, 胜率</v>
      </c>
      <c r="Q72" s="26" t="s">
        <v>92</v>
      </c>
      <c r="R72" s="26" t="s">
        <v>93</v>
      </c>
      <c r="S72" s="30" t="s">
        <v>92</v>
      </c>
      <c r="T72" s="194" t="s">
        <v>93</v>
      </c>
      <c r="U72" s="195">
        <f>2*U71</f>
        <v>0.826865830600011</v>
      </c>
      <c r="V72" s="195">
        <f>2*V71</f>
        <v>1.17313416939999</v>
      </c>
      <c r="W72" s="195">
        <f>2*W71</f>
        <v>0</v>
      </c>
      <c r="X72" s="195">
        <f>2*X71</f>
        <v>2</v>
      </c>
      <c r="Y72" s="207" t="s">
        <v>94</v>
      </c>
      <c r="Z72" s="180"/>
      <c r="AA72" s="180"/>
      <c r="AB72" s="180"/>
      <c r="AC72" s="180"/>
      <c r="AD72" s="180"/>
      <c r="AE72" s="180"/>
      <c r="AF72" s="180"/>
    </row>
    <row r="73" spans="17:32">
      <c r="Q73" s="194">
        <f>Q71/(Q71+R71)</f>
        <v>0.434891282065654</v>
      </c>
      <c r="R73" s="194">
        <f>1-Q73</f>
        <v>0.565108717934346</v>
      </c>
      <c r="S73" s="194">
        <f>S71/(S71+T71)</f>
        <v>0.493565499468614</v>
      </c>
      <c r="T73" s="194">
        <f>1-S73</f>
        <v>0.506434500531386</v>
      </c>
      <c r="U73" s="196">
        <f>P52</f>
        <v>0.758493468787631</v>
      </c>
      <c r="V73" s="196">
        <f>P65</f>
        <v>1.0761293701734</v>
      </c>
      <c r="W73" s="196">
        <f>1/Q52</f>
        <v>0.869773250841973</v>
      </c>
      <c r="X73" s="196">
        <f>1/Q65</f>
        <v>0.910578785249492</v>
      </c>
      <c r="Y73" s="208" t="s">
        <v>95</v>
      </c>
      <c r="Z73" s="180"/>
      <c r="AA73" s="180"/>
      <c r="AB73" s="180"/>
      <c r="AC73" s="180"/>
      <c r="AD73" s="180"/>
      <c r="AE73" s="180"/>
      <c r="AF73" s="180"/>
    </row>
    <row r="74" spans="1:32">
      <c r="A74" s="182" t="e">
        <f>LEFT(RIGHT(A3,LEN(A3)-FIND("钟",A3)),FIND("资",RIGHT(A3,LEN(A3)-FIND("钟",A3)))-1)&amp;MID(A2,1,25)</f>
        <v>#VALUE!</v>
      </c>
      <c r="B74" s="182"/>
      <c r="Q74" s="194" t="s">
        <v>96</v>
      </c>
      <c r="R74" s="194" t="s">
        <v>97</v>
      </c>
      <c r="S74" s="197" t="s">
        <v>96</v>
      </c>
      <c r="T74" s="197" t="s">
        <v>97</v>
      </c>
      <c r="U74" s="192" t="s">
        <v>98</v>
      </c>
      <c r="V74" s="192" t="s">
        <v>99</v>
      </c>
      <c r="W74" s="198" t="s">
        <v>100</v>
      </c>
      <c r="X74" s="198" t="s">
        <v>101</v>
      </c>
      <c r="Y74" s="91"/>
      <c r="Z74" s="180"/>
      <c r="AA74" s="180"/>
      <c r="AB74" s="180"/>
      <c r="AC74" s="180"/>
      <c r="AD74" s="180"/>
      <c r="AE74" s="180"/>
      <c r="AF74" s="180"/>
    </row>
    <row r="75" spans="17:32">
      <c r="Q75" s="194">
        <f>E53/Q73</f>
        <v>2.22560393475853</v>
      </c>
      <c r="R75" s="194">
        <f>G66/R73</f>
        <v>2.17059642476948</v>
      </c>
      <c r="S75" s="194">
        <f>(1/Q53)/S73</f>
        <v>2.43128825108715</v>
      </c>
      <c r="T75" s="194">
        <f>(1/Q66)/T73</f>
        <v>2.17204791309795</v>
      </c>
      <c r="U75" s="194">
        <f>W73/(W73+X73)</f>
        <v>0.488540037705941</v>
      </c>
      <c r="V75" s="194">
        <f>1-U75</f>
        <v>0.511459962294059</v>
      </c>
      <c r="W75" s="194">
        <f>(1/E53)/((1/E53)+(1/G66))</f>
        <v>0.55894850949851</v>
      </c>
      <c r="X75" s="194">
        <f>1-W75</f>
        <v>0.44105149050149</v>
      </c>
      <c r="Y75" s="91"/>
      <c r="Z75" s="180"/>
      <c r="AA75" s="180"/>
      <c r="AB75" s="180"/>
      <c r="AC75" s="180"/>
      <c r="AD75" s="180"/>
      <c r="AE75" s="180"/>
      <c r="AF75" s="180"/>
    </row>
    <row r="76" spans="17:32">
      <c r="Q76" s="195">
        <f>Q75/(Q75+R75)</f>
        <v>0.506256256026848</v>
      </c>
      <c r="R76" s="195">
        <f>1-Q76</f>
        <v>0.493743743973152</v>
      </c>
      <c r="S76" s="199">
        <f>S75/(S75+T75)</f>
        <v>0.528157876021106</v>
      </c>
      <c r="T76" s="199">
        <f>1-S76</f>
        <v>0.471842123978894</v>
      </c>
      <c r="U76" s="195">
        <f>U71*U75</f>
        <v>0.201978532029542</v>
      </c>
      <c r="V76" s="195">
        <f>V71*V75</f>
        <v>0.300005579023596</v>
      </c>
      <c r="W76" s="194">
        <f>W71*W75</f>
        <v>0</v>
      </c>
      <c r="X76" s="194">
        <f>X71*X75</f>
        <v>0.44105149050149</v>
      </c>
      <c r="Y76" s="91" t="s">
        <v>102</v>
      </c>
      <c r="Z76" s="180"/>
      <c r="AA76" s="180"/>
      <c r="AB76" s="180"/>
      <c r="AC76" s="180"/>
      <c r="AD76" s="180"/>
      <c r="AE76" s="180"/>
      <c r="AF76" s="180"/>
    </row>
    <row r="77" spans="17:32">
      <c r="Q77" s="194" t="s">
        <v>103</v>
      </c>
      <c r="R77" s="194" t="s">
        <v>104</v>
      </c>
      <c r="S77" s="199" t="s">
        <v>103</v>
      </c>
      <c r="T77" s="199" t="s">
        <v>104</v>
      </c>
      <c r="U77" s="194">
        <f>U76/(U76+V76)</f>
        <v>0.402360408591023</v>
      </c>
      <c r="V77" s="194">
        <f>1-U77</f>
        <v>0.597639591408977</v>
      </c>
      <c r="W77" s="194">
        <f>W76/(W76+X76)</f>
        <v>0</v>
      </c>
      <c r="X77" s="194">
        <f>1-W77</f>
        <v>1</v>
      </c>
      <c r="Y77" s="91" t="s">
        <v>105</v>
      </c>
      <c r="Z77" s="180"/>
      <c r="AA77" s="180"/>
      <c r="AB77" s="180"/>
      <c r="AC77" s="180"/>
      <c r="AD77" s="180"/>
      <c r="AE77" s="180"/>
      <c r="AF77" s="180"/>
    </row>
    <row r="78" spans="17:32">
      <c r="Q78" s="197">
        <f>1/Q73</f>
        <v>2.29942526152785</v>
      </c>
      <c r="R78" s="197">
        <f>1/R73</f>
        <v>1.76957100158589</v>
      </c>
      <c r="S78" s="194">
        <f>1/S73</f>
        <v>2.02607354257262</v>
      </c>
      <c r="T78" s="194">
        <f>1/T73</f>
        <v>1.97458901190723</v>
      </c>
      <c r="U78" s="195">
        <f>2*U77</f>
        <v>0.804720817182046</v>
      </c>
      <c r="V78" s="195">
        <f>2*V77</f>
        <v>1.19527918281795</v>
      </c>
      <c r="W78" s="195">
        <f>2*W77</f>
        <v>0</v>
      </c>
      <c r="X78" s="195">
        <f>2*X77</f>
        <v>2</v>
      </c>
      <c r="Y78" s="207" t="s">
        <v>94</v>
      </c>
      <c r="Z78" s="180"/>
      <c r="AA78" s="180"/>
      <c r="AB78" s="180"/>
      <c r="AC78" s="180"/>
      <c r="AD78" s="180"/>
      <c r="AE78" s="180"/>
      <c r="AF78" s="180"/>
    </row>
    <row r="79" spans="17:32">
      <c r="Q79" s="199">
        <f>D53/Q78</f>
        <v>0</v>
      </c>
      <c r="R79" s="199">
        <f>F66/R78</f>
        <v>0.740417170582751</v>
      </c>
      <c r="S79" s="195">
        <f>P53/S78</f>
        <v>0.345495849628029</v>
      </c>
      <c r="T79" s="195">
        <f>P66/T78</f>
        <v>0.557077950584525</v>
      </c>
      <c r="U79" s="199">
        <f>P53-Q66</f>
        <v>-0.209090909090909</v>
      </c>
      <c r="V79" s="199">
        <f>P66-Q53</f>
        <v>0.266666666666666</v>
      </c>
      <c r="W79" s="199">
        <f>D53-1/G66</f>
        <v>-0.815246437058801</v>
      </c>
      <c r="X79" s="199">
        <f>F66-1/E53</f>
        <v>0.277051632888238</v>
      </c>
      <c r="Y79" s="209" t="s">
        <v>106</v>
      </c>
      <c r="Z79" s="180"/>
      <c r="AA79" s="180"/>
      <c r="AB79" s="180"/>
      <c r="AC79" s="180"/>
      <c r="AD79" s="180"/>
      <c r="AE79" s="180"/>
      <c r="AF79" s="180"/>
    </row>
    <row r="80" ht="12.75" customHeight="1" spans="17:32">
      <c r="Q80" s="194">
        <f>1/Q76</f>
        <v>1.97528423223469</v>
      </c>
      <c r="R80" s="194">
        <f>1/R76</f>
        <v>2.02534211766008</v>
      </c>
      <c r="Y80" s="4"/>
      <c r="Z80" s="180"/>
      <c r="AA80" s="180"/>
      <c r="AB80" s="180"/>
      <c r="AC80" s="180"/>
      <c r="AD80" s="180"/>
      <c r="AE80" s="180"/>
      <c r="AF80" s="180"/>
    </row>
    <row r="81" spans="17:18">
      <c r="Q81" s="194">
        <f>Q80/(Q80+R80)</f>
        <v>0.493743743973152</v>
      </c>
      <c r="R81" s="194">
        <f>1-Q81</f>
        <v>0.506256256026848</v>
      </c>
    </row>
    <row r="82" spans="17:18">
      <c r="Q82" s="194">
        <f>Q79*Q81</f>
        <v>0</v>
      </c>
      <c r="R82" s="194">
        <f>R79*R81</f>
        <v>0.374840824677215</v>
      </c>
    </row>
    <row r="83" spans="17:18">
      <c r="Q83" s="194">
        <f>Q82/(Q82+R82)</f>
        <v>0</v>
      </c>
      <c r="R83" s="194">
        <f>1-Q83</f>
        <v>1</v>
      </c>
    </row>
    <row r="84" spans="17:18">
      <c r="Q84" s="195">
        <f>2*Q83</f>
        <v>0</v>
      </c>
      <c r="R84" s="195">
        <f>2*R83</f>
        <v>2</v>
      </c>
    </row>
    <row r="85" spans="1:24">
      <c r="A85" s="26" t="str">
        <f t="shared" ref="A85:A94" si="42">LEFT(A$10,FIND("近",A$10)-1)</f>
        <v>FC东京</v>
      </c>
      <c r="B85" s="26" t="str">
        <f t="shared" ref="B85:B94" si="43">MID(A$85,1,4)</f>
        <v>FC东京</v>
      </c>
      <c r="C85" s="26" t="e">
        <f t="shared" ref="C85:C94" si="44">REPLACE(C14,SEARCH(B$85,C14),0,"")</f>
        <v>#VALUE!</v>
      </c>
      <c r="D85" s="30" t="str">
        <f t="shared" ref="D85:D94" si="45">REPLACE(E14,SEARCH(B$85,E14),0,"")</f>
        <v>FC东京</v>
      </c>
      <c r="E85" s="26">
        <f t="shared" ref="E85:E104" si="46">IF(ISERROR(C85)=TRUE,"",C85)</f>
        <v>0</v>
      </c>
      <c r="F85" s="26" t="str">
        <f t="shared" ref="F85:F104" si="47">IF(ISERROR(D85)=TRUE,"",D85)</f>
        <v>FC东京</v>
      </c>
      <c r="G85" s="183">
        <f t="shared" ref="G85:G104" si="48">LEN(E85)</f>
        <v>0</v>
      </c>
      <c r="H85" s="183">
        <f t="shared" ref="H85:H104" si="49">LEN(F85)</f>
        <v>4</v>
      </c>
      <c r="I85" s="183">
        <f t="shared" ref="I85:I104" si="50">VALUE(LEFT(X85,FIND("-",X85)-1))</f>
        <v>1</v>
      </c>
      <c r="J85" s="183">
        <f t="shared" ref="J85:J104" si="51">VALUE(RIGHT(X85,LEN(X85)-FIND("-",X85)))</f>
        <v>2</v>
      </c>
      <c r="K85" s="183">
        <f t="shared" ref="K85:K104" si="52">IF(G85&lt;&gt;0,I85,J85)</f>
        <v>2</v>
      </c>
      <c r="L85" s="183">
        <f t="shared" ref="L85:L104" si="53">IF(H85=0,J85,I85)</f>
        <v>1</v>
      </c>
      <c r="M85" s="81">
        <f t="shared" ref="M85:M94" si="54">IF(G85&lt;&gt;0,I14,K14)</f>
        <v>2</v>
      </c>
      <c r="N85" s="81">
        <f t="shared" ref="N85:N94" si="55">J14</f>
        <v>3.52999997138977</v>
      </c>
      <c r="O85" s="81">
        <f t="shared" ref="O85:O94" si="56">IF(H85=0,K14,I14)</f>
        <v>3.35999989509583</v>
      </c>
      <c r="P85" s="187">
        <f t="shared" ref="P85:P104" si="57">1/(Q85+R85+S85)</f>
        <v>0.925150531406461</v>
      </c>
      <c r="Q85" s="200">
        <f t="shared" ref="Q85:Q104" si="58">1/M85</f>
        <v>0.5</v>
      </c>
      <c r="R85" s="200">
        <f t="shared" ref="R85:R104" si="59">1/N85</f>
        <v>0.28328612127617</v>
      </c>
      <c r="S85" s="200">
        <f t="shared" ref="S85:S104" si="60">1/O85</f>
        <v>0.297619056911154</v>
      </c>
      <c r="T85" s="201">
        <f t="shared" ref="T85:T104" si="61">$P85/M85</f>
        <v>0.46257526570323</v>
      </c>
      <c r="U85" s="202">
        <f t="shared" ref="U85:U104" si="62">$P85/N85</f>
        <v>0.262082305638724</v>
      </c>
      <c r="V85" s="202">
        <f t="shared" ref="V85:V104" si="63">$P85/O85</f>
        <v>0.275342428658044</v>
      </c>
      <c r="W85" s="26">
        <f t="shared" ref="W85:W104" si="64">IF(K85=L85,1,IF(K85&gt;L85,3,0))</f>
        <v>3</v>
      </c>
      <c r="X85" s="120" t="str">
        <f t="shared" ref="X85:X94" si="65">LEFT(D14,FIND("(",D14)-1)</f>
        <v>1-2</v>
      </c>
    </row>
    <row r="86" spans="1:24">
      <c r="A86" s="26" t="str">
        <f t="shared" si="42"/>
        <v>FC东京</v>
      </c>
      <c r="B86" s="26" t="str">
        <f t="shared" si="43"/>
        <v>FC东京</v>
      </c>
      <c r="C86" s="26" t="str">
        <f t="shared" si="44"/>
        <v>FC东京</v>
      </c>
      <c r="D86" s="30" t="e">
        <f t="shared" si="45"/>
        <v>#VALUE!</v>
      </c>
      <c r="E86" s="26" t="str">
        <f t="shared" si="46"/>
        <v>FC东京</v>
      </c>
      <c r="F86" s="26">
        <f t="shared" si="47"/>
        <v>0</v>
      </c>
      <c r="G86" s="183">
        <f t="shared" si="48"/>
        <v>4</v>
      </c>
      <c r="H86" s="183">
        <f t="shared" si="49"/>
        <v>0</v>
      </c>
      <c r="I86" s="183">
        <f t="shared" si="50"/>
        <v>0</v>
      </c>
      <c r="J86" s="183">
        <f t="shared" si="51"/>
        <v>2</v>
      </c>
      <c r="K86" s="183">
        <f t="shared" si="52"/>
        <v>0</v>
      </c>
      <c r="L86" s="183">
        <f t="shared" si="53"/>
        <v>2</v>
      </c>
      <c r="M86" s="81">
        <f t="shared" si="54"/>
        <v>1.9099999666214</v>
      </c>
      <c r="N86" s="81">
        <f t="shared" si="55"/>
        <v>3.47000002861022</v>
      </c>
      <c r="O86" s="81">
        <f t="shared" si="56"/>
        <v>3.71000003814697</v>
      </c>
      <c r="P86" s="187">
        <f t="shared" si="57"/>
        <v>0.924824331320847</v>
      </c>
      <c r="Q86" s="200">
        <f t="shared" si="58"/>
        <v>0.523560218573668</v>
      </c>
      <c r="R86" s="200">
        <f t="shared" si="59"/>
        <v>0.288184435664258</v>
      </c>
      <c r="S86" s="200">
        <f t="shared" si="60"/>
        <v>0.269541776204258</v>
      </c>
      <c r="T86" s="201">
        <f t="shared" si="61"/>
        <v>0.484201229048589</v>
      </c>
      <c r="U86" s="202">
        <f t="shared" si="62"/>
        <v>0.266519978010273</v>
      </c>
      <c r="V86" s="202">
        <f t="shared" si="63"/>
        <v>0.249278792941136</v>
      </c>
      <c r="W86" s="26">
        <f t="shared" si="64"/>
        <v>0</v>
      </c>
      <c r="X86" s="120" t="str">
        <f t="shared" si="65"/>
        <v>0-2</v>
      </c>
    </row>
    <row r="87" spans="1:24">
      <c r="A87" s="26" t="str">
        <f t="shared" si="42"/>
        <v>FC东京</v>
      </c>
      <c r="B87" s="26" t="str">
        <f t="shared" si="43"/>
        <v>FC东京</v>
      </c>
      <c r="C87" s="26" t="e">
        <f t="shared" si="44"/>
        <v>#VALUE!</v>
      </c>
      <c r="D87" s="30" t="str">
        <f t="shared" si="45"/>
        <v>FC东京</v>
      </c>
      <c r="E87" s="26">
        <f t="shared" si="46"/>
        <v>0</v>
      </c>
      <c r="F87" s="26" t="str">
        <f t="shared" si="47"/>
        <v>FC东京</v>
      </c>
      <c r="G87" s="183">
        <f t="shared" si="48"/>
        <v>0</v>
      </c>
      <c r="H87" s="183">
        <f t="shared" si="49"/>
        <v>4</v>
      </c>
      <c r="I87" s="183">
        <f t="shared" si="50"/>
        <v>1</v>
      </c>
      <c r="J87" s="183">
        <f t="shared" si="51"/>
        <v>1</v>
      </c>
      <c r="K87" s="183">
        <f t="shared" si="52"/>
        <v>1</v>
      </c>
      <c r="L87" s="183">
        <f t="shared" si="53"/>
        <v>1</v>
      </c>
      <c r="M87" s="81">
        <f t="shared" si="54"/>
        <v>3.00999999046325</v>
      </c>
      <c r="N87" s="81">
        <f t="shared" si="55"/>
        <v>3.17000007629395</v>
      </c>
      <c r="O87" s="81">
        <f t="shared" si="56"/>
        <v>2.32999992370604</v>
      </c>
      <c r="P87" s="187">
        <f t="shared" si="57"/>
        <v>0.928619021050802</v>
      </c>
      <c r="Q87" s="200">
        <f t="shared" si="58"/>
        <v>0.332225914673871</v>
      </c>
      <c r="R87" s="200">
        <f t="shared" si="59"/>
        <v>0.315457405656942</v>
      </c>
      <c r="S87" s="200">
        <f t="shared" si="60"/>
        <v>0.429184563409521</v>
      </c>
      <c r="T87" s="201">
        <f t="shared" si="61"/>
        <v>0.308511303652157</v>
      </c>
      <c r="U87" s="202">
        <f t="shared" si="62"/>
        <v>0.292939747224376</v>
      </c>
      <c r="V87" s="202">
        <f t="shared" si="63"/>
        <v>0.398548949123466</v>
      </c>
      <c r="W87" s="26">
        <f t="shared" si="64"/>
        <v>1</v>
      </c>
      <c r="X87" s="120" t="str">
        <f t="shared" si="65"/>
        <v>1-1</v>
      </c>
    </row>
    <row r="88" spans="1:24">
      <c r="A88" s="26" t="str">
        <f t="shared" si="42"/>
        <v>FC东京</v>
      </c>
      <c r="B88" s="26" t="str">
        <f t="shared" si="43"/>
        <v>FC东京</v>
      </c>
      <c r="C88" s="26" t="e">
        <f t="shared" si="44"/>
        <v>#VALUE!</v>
      </c>
      <c r="D88" s="30" t="str">
        <f t="shared" si="45"/>
        <v>FC东京</v>
      </c>
      <c r="E88" s="26">
        <f t="shared" si="46"/>
        <v>0</v>
      </c>
      <c r="F88" s="26" t="str">
        <f t="shared" si="47"/>
        <v>FC东京</v>
      </c>
      <c r="G88" s="183">
        <f t="shared" si="48"/>
        <v>0</v>
      </c>
      <c r="H88" s="183">
        <f t="shared" si="49"/>
        <v>4</v>
      </c>
      <c r="I88" s="183">
        <f t="shared" si="50"/>
        <v>1</v>
      </c>
      <c r="J88" s="183">
        <f t="shared" si="51"/>
        <v>0</v>
      </c>
      <c r="K88" s="183">
        <f t="shared" si="52"/>
        <v>0</v>
      </c>
      <c r="L88" s="183">
        <f t="shared" si="53"/>
        <v>1</v>
      </c>
      <c r="M88" s="81">
        <f t="shared" si="54"/>
        <v>2.17000007629395</v>
      </c>
      <c r="N88" s="81">
        <f t="shared" si="55"/>
        <v>3.33999991416931</v>
      </c>
      <c r="O88" s="81">
        <f t="shared" si="56"/>
        <v>3.11999988555907</v>
      </c>
      <c r="P88" s="187">
        <f t="shared" si="57"/>
        <v>0.925288920661042</v>
      </c>
      <c r="Q88" s="200">
        <f t="shared" si="58"/>
        <v>0.460829476885483</v>
      </c>
      <c r="R88" s="200">
        <f t="shared" si="59"/>
        <v>0.299401205298746</v>
      </c>
      <c r="S88" s="200">
        <f t="shared" si="60"/>
        <v>0.320512832269161</v>
      </c>
      <c r="T88" s="201">
        <f t="shared" si="61"/>
        <v>0.426400409276161</v>
      </c>
      <c r="U88" s="202">
        <f t="shared" si="62"/>
        <v>0.277032618095492</v>
      </c>
      <c r="V88" s="202">
        <f t="shared" si="63"/>
        <v>0.296566972628346</v>
      </c>
      <c r="W88" s="26">
        <f t="shared" si="64"/>
        <v>0</v>
      </c>
      <c r="X88" s="120" t="str">
        <f t="shared" si="65"/>
        <v>1-0</v>
      </c>
    </row>
    <row r="89" spans="1:24">
      <c r="A89" s="26" t="str">
        <f t="shared" si="42"/>
        <v>FC东京</v>
      </c>
      <c r="B89" s="26" t="str">
        <f t="shared" si="43"/>
        <v>FC东京</v>
      </c>
      <c r="C89" s="26" t="str">
        <f t="shared" si="44"/>
        <v>FC东京</v>
      </c>
      <c r="D89" s="30" t="e">
        <f t="shared" si="45"/>
        <v>#VALUE!</v>
      </c>
      <c r="E89" s="26" t="str">
        <f t="shared" si="46"/>
        <v>FC东京</v>
      </c>
      <c r="F89" s="26">
        <f t="shared" si="47"/>
        <v>0</v>
      </c>
      <c r="G89" s="183">
        <f t="shared" si="48"/>
        <v>4</v>
      </c>
      <c r="H89" s="183">
        <f t="shared" si="49"/>
        <v>0</v>
      </c>
      <c r="I89" s="183">
        <f t="shared" si="50"/>
        <v>0</v>
      </c>
      <c r="J89" s="183">
        <f t="shared" si="51"/>
        <v>0</v>
      </c>
      <c r="K89" s="183">
        <f t="shared" si="52"/>
        <v>0</v>
      </c>
      <c r="L89" s="183">
        <f t="shared" si="53"/>
        <v>0</v>
      </c>
      <c r="M89" s="81">
        <f t="shared" si="54"/>
        <v>1.74000000953674</v>
      </c>
      <c r="N89" s="81">
        <f t="shared" si="55"/>
        <v>3.51999998092651</v>
      </c>
      <c r="O89" s="81">
        <f t="shared" si="56"/>
        <v>4.51999998092651</v>
      </c>
      <c r="P89" s="187">
        <f t="shared" si="57"/>
        <v>0.925889498908109</v>
      </c>
      <c r="Q89" s="200">
        <f t="shared" si="58"/>
        <v>0.574712640528227</v>
      </c>
      <c r="R89" s="200">
        <f t="shared" si="59"/>
        <v>0.284090910630285</v>
      </c>
      <c r="S89" s="200">
        <f t="shared" si="60"/>
        <v>0.221238938986681</v>
      </c>
      <c r="T89" s="201">
        <f t="shared" si="61"/>
        <v>0.532120398754836</v>
      </c>
      <c r="U89" s="202">
        <f t="shared" si="62"/>
        <v>0.263036790887823</v>
      </c>
      <c r="V89" s="202">
        <f t="shared" si="63"/>
        <v>0.204842810357339</v>
      </c>
      <c r="W89" s="26">
        <f t="shared" si="64"/>
        <v>1</v>
      </c>
      <c r="X89" s="120" t="str">
        <f t="shared" si="65"/>
        <v>0-0</v>
      </c>
    </row>
    <row r="90" spans="1:24">
      <c r="A90" s="26" t="str">
        <f t="shared" si="42"/>
        <v>FC东京</v>
      </c>
      <c r="B90" s="26" t="str">
        <f t="shared" si="43"/>
        <v>FC东京</v>
      </c>
      <c r="C90" s="26" t="e">
        <f t="shared" si="44"/>
        <v>#VALUE!</v>
      </c>
      <c r="D90" s="30" t="str">
        <f t="shared" si="45"/>
        <v>FC东京</v>
      </c>
      <c r="E90" s="26">
        <f t="shared" si="46"/>
        <v>0</v>
      </c>
      <c r="F90" s="26" t="str">
        <f t="shared" si="47"/>
        <v>FC东京</v>
      </c>
      <c r="G90" s="183">
        <f t="shared" si="48"/>
        <v>0</v>
      </c>
      <c r="H90" s="183">
        <f t="shared" si="49"/>
        <v>4</v>
      </c>
      <c r="I90" s="183">
        <f t="shared" si="50"/>
        <v>0</v>
      </c>
      <c r="J90" s="183">
        <f t="shared" si="51"/>
        <v>0</v>
      </c>
      <c r="K90" s="183">
        <f t="shared" si="52"/>
        <v>0</v>
      </c>
      <c r="L90" s="183">
        <f t="shared" si="53"/>
        <v>0</v>
      </c>
      <c r="M90" s="81">
        <f t="shared" si="54"/>
        <v>1.87999999523163</v>
      </c>
      <c r="N90" s="81">
        <f t="shared" si="55"/>
        <v>3.39000010490416</v>
      </c>
      <c r="O90" s="81">
        <f t="shared" si="56"/>
        <v>3.95000004768371</v>
      </c>
      <c r="P90" s="187">
        <f t="shared" si="57"/>
        <v>0.925870467587042</v>
      </c>
      <c r="Q90" s="200">
        <f t="shared" si="58"/>
        <v>0.531914894966152</v>
      </c>
      <c r="R90" s="200">
        <f t="shared" si="59"/>
        <v>0.29498524160909</v>
      </c>
      <c r="S90" s="200">
        <f t="shared" si="60"/>
        <v>0.253164553905866</v>
      </c>
      <c r="T90" s="201">
        <f t="shared" si="61"/>
        <v>0.492484292518824</v>
      </c>
      <c r="U90" s="202">
        <f t="shared" si="62"/>
        <v>0.273118123579885</v>
      </c>
      <c r="V90" s="202">
        <f t="shared" si="63"/>
        <v>0.234397583901289</v>
      </c>
      <c r="W90" s="26">
        <f t="shared" si="64"/>
        <v>1</v>
      </c>
      <c r="X90" s="120" t="str">
        <f t="shared" si="65"/>
        <v>0-0</v>
      </c>
    </row>
    <row r="91" spans="1:24">
      <c r="A91" s="26" t="str">
        <f t="shared" si="42"/>
        <v>FC东京</v>
      </c>
      <c r="B91" s="26" t="str">
        <f t="shared" si="43"/>
        <v>FC东京</v>
      </c>
      <c r="C91" s="26" t="e">
        <f t="shared" si="44"/>
        <v>#VALUE!</v>
      </c>
      <c r="D91" s="30" t="str">
        <f t="shared" si="45"/>
        <v>FC东京</v>
      </c>
      <c r="E91" s="26">
        <f t="shared" si="46"/>
        <v>0</v>
      </c>
      <c r="F91" s="26" t="str">
        <f t="shared" si="47"/>
        <v>FC东京</v>
      </c>
      <c r="G91" s="183">
        <f t="shared" si="48"/>
        <v>0</v>
      </c>
      <c r="H91" s="183">
        <f t="shared" si="49"/>
        <v>4</v>
      </c>
      <c r="I91" s="183">
        <f t="shared" si="50"/>
        <v>1</v>
      </c>
      <c r="J91" s="183">
        <f t="shared" si="51"/>
        <v>1</v>
      </c>
      <c r="K91" s="183">
        <f t="shared" si="52"/>
        <v>1</v>
      </c>
      <c r="L91" s="183">
        <f t="shared" si="53"/>
        <v>1</v>
      </c>
      <c r="M91" s="81">
        <f t="shared" si="54"/>
        <v>1.54999995231628</v>
      </c>
      <c r="N91" s="81">
        <f t="shared" si="55"/>
        <v>3.8199999332428</v>
      </c>
      <c r="O91" s="81">
        <f t="shared" si="56"/>
        <v>5.65999984741211</v>
      </c>
      <c r="P91" s="187">
        <f t="shared" si="57"/>
        <v>0.922832838519123</v>
      </c>
      <c r="Q91" s="200">
        <f t="shared" si="58"/>
        <v>0.645161310170123</v>
      </c>
      <c r="R91" s="200">
        <f t="shared" si="59"/>
        <v>0.261780109286834</v>
      </c>
      <c r="S91" s="200">
        <f t="shared" si="60"/>
        <v>0.176678449992754</v>
      </c>
      <c r="T91" s="201">
        <f t="shared" si="61"/>
        <v>0.595376043167011</v>
      </c>
      <c r="U91" s="202">
        <f t="shared" si="62"/>
        <v>0.241579281321015</v>
      </c>
      <c r="V91" s="202">
        <f t="shared" si="63"/>
        <v>0.163044675511972</v>
      </c>
      <c r="W91" s="26">
        <f t="shared" si="64"/>
        <v>1</v>
      </c>
      <c r="X91" s="120" t="str">
        <f t="shared" si="65"/>
        <v>1-1</v>
      </c>
    </row>
    <row r="92" spans="1:24">
      <c r="A92" s="26" t="str">
        <f t="shared" si="42"/>
        <v>FC东京</v>
      </c>
      <c r="B92" s="26" t="str">
        <f t="shared" si="43"/>
        <v>FC东京</v>
      </c>
      <c r="C92" s="26" t="e">
        <f t="shared" si="44"/>
        <v>#VALUE!</v>
      </c>
      <c r="D92" s="30" t="str">
        <f t="shared" si="45"/>
        <v>FC东京</v>
      </c>
      <c r="E92" s="26">
        <f t="shared" si="46"/>
        <v>0</v>
      </c>
      <c r="F92" s="26" t="str">
        <f t="shared" si="47"/>
        <v>FC东京</v>
      </c>
      <c r="G92" s="183">
        <f t="shared" si="48"/>
        <v>0</v>
      </c>
      <c r="H92" s="183">
        <f t="shared" si="49"/>
        <v>4</v>
      </c>
      <c r="I92" s="183">
        <f t="shared" si="50"/>
        <v>3</v>
      </c>
      <c r="J92" s="183">
        <f t="shared" si="51"/>
        <v>2</v>
      </c>
      <c r="K92" s="183">
        <f t="shared" si="52"/>
        <v>2</v>
      </c>
      <c r="L92" s="183">
        <f t="shared" si="53"/>
        <v>3</v>
      </c>
      <c r="M92" s="81">
        <f t="shared" si="54"/>
        <v>2.36999988555907</v>
      </c>
      <c r="N92" s="81">
        <f t="shared" si="55"/>
        <v>3.25999999046325</v>
      </c>
      <c r="O92" s="81">
        <f t="shared" si="56"/>
        <v>2.82999992370604</v>
      </c>
      <c r="P92" s="187">
        <f t="shared" si="57"/>
        <v>0.9241748577782</v>
      </c>
      <c r="Q92" s="200">
        <f t="shared" si="58"/>
        <v>0.421940948644434</v>
      </c>
      <c r="R92" s="200">
        <f t="shared" si="59"/>
        <v>0.306748467155024</v>
      </c>
      <c r="S92" s="200">
        <f t="shared" si="60"/>
        <v>0.35335689998551</v>
      </c>
      <c r="T92" s="201">
        <f t="shared" si="61"/>
        <v>0.389947216204269</v>
      </c>
      <c r="U92" s="202">
        <f t="shared" si="62"/>
        <v>0.283489221006675</v>
      </c>
      <c r="V92" s="202">
        <f t="shared" si="63"/>
        <v>0.326563562789054</v>
      </c>
      <c r="W92" s="26">
        <f t="shared" si="64"/>
        <v>0</v>
      </c>
      <c r="X92" s="120" t="str">
        <f t="shared" si="65"/>
        <v>3-2</v>
      </c>
    </row>
    <row r="93" spans="1:24">
      <c r="A93" s="26" t="str">
        <f t="shared" si="42"/>
        <v>FC东京</v>
      </c>
      <c r="B93" s="26" t="str">
        <f t="shared" si="43"/>
        <v>FC东京</v>
      </c>
      <c r="C93" s="26" t="str">
        <f t="shared" si="44"/>
        <v>FC东京</v>
      </c>
      <c r="D93" s="30" t="e">
        <f t="shared" si="45"/>
        <v>#VALUE!</v>
      </c>
      <c r="E93" s="26" t="str">
        <f t="shared" si="46"/>
        <v>FC东京</v>
      </c>
      <c r="F93" s="26">
        <f t="shared" si="47"/>
        <v>0</v>
      </c>
      <c r="G93" s="183">
        <f t="shared" si="48"/>
        <v>4</v>
      </c>
      <c r="H93" s="183">
        <f t="shared" si="49"/>
        <v>0</v>
      </c>
      <c r="I93" s="183">
        <f t="shared" si="50"/>
        <v>0</v>
      </c>
      <c r="J93" s="183">
        <f t="shared" si="51"/>
        <v>1</v>
      </c>
      <c r="K93" s="183">
        <f t="shared" si="52"/>
        <v>0</v>
      </c>
      <c r="L93" s="183">
        <f t="shared" si="53"/>
        <v>1</v>
      </c>
      <c r="M93" s="81">
        <f t="shared" si="54"/>
        <v>2.01999998092651</v>
      </c>
      <c r="N93" s="81">
        <f t="shared" si="55"/>
        <v>3.35999989509583</v>
      </c>
      <c r="O93" s="81">
        <f t="shared" si="56"/>
        <v>3.46000003814697</v>
      </c>
      <c r="P93" s="187">
        <f t="shared" si="57"/>
        <v>0.924482787416802</v>
      </c>
      <c r="Q93" s="200">
        <f t="shared" si="58"/>
        <v>0.495049509624911</v>
      </c>
      <c r="R93" s="200">
        <f t="shared" si="59"/>
        <v>0.297619056911154</v>
      </c>
      <c r="S93" s="200">
        <f t="shared" si="60"/>
        <v>0.289017337854007</v>
      </c>
      <c r="T93" s="201">
        <f t="shared" si="61"/>
        <v>0.457664750567359</v>
      </c>
      <c r="U93" s="202">
        <f t="shared" si="62"/>
        <v>0.275143695321584</v>
      </c>
      <c r="V93" s="202">
        <f t="shared" si="63"/>
        <v>0.267191554111056</v>
      </c>
      <c r="W93" s="26">
        <f t="shared" si="64"/>
        <v>0</v>
      </c>
      <c r="X93" s="120" t="str">
        <f t="shared" si="65"/>
        <v>0-1</v>
      </c>
    </row>
    <row r="94" spans="1:24">
      <c r="A94" s="26" t="str">
        <f t="shared" si="42"/>
        <v>FC东京</v>
      </c>
      <c r="B94" s="26" t="str">
        <f t="shared" si="43"/>
        <v>FC东京</v>
      </c>
      <c r="C94" s="26" t="e">
        <f t="shared" si="44"/>
        <v>#VALUE!</v>
      </c>
      <c r="D94" s="30" t="str">
        <f t="shared" si="45"/>
        <v>FC东京</v>
      </c>
      <c r="E94" s="26">
        <f t="shared" si="46"/>
        <v>0</v>
      </c>
      <c r="F94" s="26" t="str">
        <f t="shared" si="47"/>
        <v>FC东京</v>
      </c>
      <c r="G94" s="183">
        <f t="shared" si="48"/>
        <v>0</v>
      </c>
      <c r="H94" s="183">
        <f t="shared" si="49"/>
        <v>4</v>
      </c>
      <c r="I94" s="183">
        <f t="shared" si="50"/>
        <v>2</v>
      </c>
      <c r="J94" s="183">
        <f t="shared" si="51"/>
        <v>1</v>
      </c>
      <c r="K94" s="183">
        <f t="shared" si="52"/>
        <v>1</v>
      </c>
      <c r="L94" s="183">
        <f t="shared" si="53"/>
        <v>2</v>
      </c>
      <c r="M94" s="81">
        <f t="shared" si="54"/>
        <v>2.0699999332428</v>
      </c>
      <c r="N94" s="81">
        <f t="shared" si="55"/>
        <v>3.3199999332428</v>
      </c>
      <c r="O94" s="81">
        <f t="shared" si="56"/>
        <v>3.34999990463257</v>
      </c>
      <c r="P94" s="187">
        <f t="shared" si="57"/>
        <v>0.923528088254658</v>
      </c>
      <c r="Q94" s="200">
        <f t="shared" si="58"/>
        <v>0.483091803019254</v>
      </c>
      <c r="R94" s="200">
        <f t="shared" si="59"/>
        <v>0.301204825333611</v>
      </c>
      <c r="S94" s="200">
        <f t="shared" si="60"/>
        <v>0.298507471184444</v>
      </c>
      <c r="T94" s="201">
        <f t="shared" si="61"/>
        <v>0.446148849293868</v>
      </c>
      <c r="U94" s="202">
        <f t="shared" si="62"/>
        <v>0.278171116513428</v>
      </c>
      <c r="V94" s="202">
        <f t="shared" si="63"/>
        <v>0.275680034192703</v>
      </c>
      <c r="W94" s="26">
        <f t="shared" si="64"/>
        <v>0</v>
      </c>
      <c r="X94" s="120" t="str">
        <f t="shared" si="65"/>
        <v>2-1</v>
      </c>
    </row>
    <row r="95" spans="1:37">
      <c r="A95" s="184" t="str">
        <f t="shared" ref="A95:A104" si="66">LEFT(A$25,FIND("近",A$25)-1)</f>
        <v>大阪樱花</v>
      </c>
      <c r="B95" s="184" t="str">
        <f t="shared" ref="B95:B104" si="67">MID(A$95,1,4)</f>
        <v>大阪樱花</v>
      </c>
      <c r="C95" s="184" t="str">
        <f t="shared" ref="C95:C104" si="68">REPLACE(C29,SEARCH(B$95,C29),0,"")</f>
        <v>大阪樱花</v>
      </c>
      <c r="D95" s="185" t="e">
        <f t="shared" ref="D95:D103" si="69">REPLACE(E29,SEARCH(B$95,E29),0,"")</f>
        <v>#VALUE!</v>
      </c>
      <c r="E95" s="184" t="str">
        <f t="shared" si="46"/>
        <v>大阪樱花</v>
      </c>
      <c r="F95" s="184">
        <f t="shared" si="47"/>
        <v>0</v>
      </c>
      <c r="G95" s="186">
        <f t="shared" si="48"/>
        <v>4</v>
      </c>
      <c r="H95" s="186">
        <f t="shared" si="49"/>
        <v>0</v>
      </c>
      <c r="I95" s="186">
        <f t="shared" si="50"/>
        <v>0</v>
      </c>
      <c r="J95" s="186">
        <f t="shared" si="51"/>
        <v>1</v>
      </c>
      <c r="K95" s="186">
        <f t="shared" si="52"/>
        <v>0</v>
      </c>
      <c r="L95" s="186">
        <f t="shared" si="53"/>
        <v>1</v>
      </c>
      <c r="M95" s="188">
        <f t="shared" ref="M95:M104" si="70">IF(G95&lt;&gt;0,I29,K29)</f>
        <v>1.98000001907349</v>
      </c>
      <c r="N95" s="188">
        <f t="shared" ref="N95:N104" si="71">J29</f>
        <v>3.49000000953674</v>
      </c>
      <c r="O95" s="188">
        <f t="shared" ref="O95:O104" si="72">IF(H95=0,K29,I29)</f>
        <v>3.45000004768371</v>
      </c>
      <c r="P95" s="189">
        <f t="shared" si="57"/>
        <v>0.924694268137061</v>
      </c>
      <c r="Q95" s="203">
        <f t="shared" si="58"/>
        <v>0.505050500185315</v>
      </c>
      <c r="R95" s="203">
        <f t="shared" si="59"/>
        <v>0.286532950506421</v>
      </c>
      <c r="S95" s="203">
        <f t="shared" si="60"/>
        <v>0.289855068457574</v>
      </c>
      <c r="T95" s="204">
        <f t="shared" si="61"/>
        <v>0.467017302641117</v>
      </c>
      <c r="U95" s="204">
        <f t="shared" si="62"/>
        <v>0.264955376965688</v>
      </c>
      <c r="V95" s="204">
        <f t="shared" si="63"/>
        <v>0.268027320393194</v>
      </c>
      <c r="W95" s="184">
        <f t="shared" si="64"/>
        <v>0</v>
      </c>
      <c r="X95" s="205" t="str">
        <f t="shared" ref="X95:X104" si="73">LEFT(D29,FIND("(",D29)-1)</f>
        <v>0-1</v>
      </c>
      <c r="AK95" s="4"/>
    </row>
    <row r="96" spans="1:24">
      <c r="A96" s="184" t="str">
        <f t="shared" si="66"/>
        <v>大阪樱花</v>
      </c>
      <c r="B96" s="184" t="str">
        <f t="shared" si="67"/>
        <v>大阪樱花</v>
      </c>
      <c r="C96" s="184" t="e">
        <f t="shared" si="68"/>
        <v>#VALUE!</v>
      </c>
      <c r="D96" s="185" t="str">
        <f t="shared" si="69"/>
        <v>大阪樱花</v>
      </c>
      <c r="E96" s="184">
        <f t="shared" si="46"/>
        <v>0</v>
      </c>
      <c r="F96" s="184" t="str">
        <f t="shared" si="47"/>
        <v>大阪樱花</v>
      </c>
      <c r="G96" s="186">
        <f t="shared" si="48"/>
        <v>0</v>
      </c>
      <c r="H96" s="186">
        <f t="shared" si="49"/>
        <v>4</v>
      </c>
      <c r="I96" s="186">
        <f t="shared" si="50"/>
        <v>1</v>
      </c>
      <c r="J96" s="186">
        <f t="shared" si="51"/>
        <v>1</v>
      </c>
      <c r="K96" s="186">
        <f t="shared" si="52"/>
        <v>1</v>
      </c>
      <c r="L96" s="186">
        <f t="shared" si="53"/>
        <v>1</v>
      </c>
      <c r="M96" s="188">
        <f t="shared" si="70"/>
        <v>2.0699999332428</v>
      </c>
      <c r="N96" s="188">
        <f t="shared" si="71"/>
        <v>3.32999992370604</v>
      </c>
      <c r="O96" s="188">
        <f t="shared" si="72"/>
        <v>3.39000010490416</v>
      </c>
      <c r="P96" s="189">
        <f t="shared" si="57"/>
        <v>0.927319178507054</v>
      </c>
      <c r="Q96" s="203">
        <f t="shared" si="58"/>
        <v>0.483091803019254</v>
      </c>
      <c r="R96" s="203">
        <f t="shared" si="59"/>
        <v>0.300300307180509</v>
      </c>
      <c r="S96" s="203">
        <f t="shared" si="60"/>
        <v>0.29498524160909</v>
      </c>
      <c r="T96" s="204">
        <f t="shared" si="61"/>
        <v>0.447980293919306</v>
      </c>
      <c r="U96" s="204">
        <f t="shared" si="62"/>
        <v>0.278474234160046</v>
      </c>
      <c r="V96" s="204">
        <f t="shared" si="63"/>
        <v>0.273545471920647</v>
      </c>
      <c r="W96" s="184">
        <f t="shared" si="64"/>
        <v>1</v>
      </c>
      <c r="X96" s="205" t="str">
        <f t="shared" si="73"/>
        <v>1-1</v>
      </c>
    </row>
    <row r="97" spans="1:24">
      <c r="A97" s="184" t="str">
        <f t="shared" si="66"/>
        <v>大阪樱花</v>
      </c>
      <c r="B97" s="184" t="str">
        <f t="shared" si="67"/>
        <v>大阪樱花</v>
      </c>
      <c r="C97" s="184" t="str">
        <f t="shared" si="68"/>
        <v>大阪樱花</v>
      </c>
      <c r="D97" s="185" t="e">
        <f t="shared" si="69"/>
        <v>#VALUE!</v>
      </c>
      <c r="E97" s="184" t="str">
        <f t="shared" si="46"/>
        <v>大阪樱花</v>
      </c>
      <c r="F97" s="184">
        <f t="shared" si="47"/>
        <v>0</v>
      </c>
      <c r="G97" s="186">
        <f t="shared" si="48"/>
        <v>4</v>
      </c>
      <c r="H97" s="186">
        <f t="shared" si="49"/>
        <v>0</v>
      </c>
      <c r="I97" s="186">
        <f t="shared" si="50"/>
        <v>1</v>
      </c>
      <c r="J97" s="186">
        <f t="shared" si="51"/>
        <v>1</v>
      </c>
      <c r="K97" s="186">
        <f t="shared" si="52"/>
        <v>1</v>
      </c>
      <c r="L97" s="186">
        <f t="shared" si="53"/>
        <v>1</v>
      </c>
      <c r="M97" s="188">
        <f t="shared" si="70"/>
        <v>1.80999994277953</v>
      </c>
      <c r="N97" s="188">
        <f t="shared" si="71"/>
        <v>3.45000004768371</v>
      </c>
      <c r="O97" s="188">
        <f t="shared" si="72"/>
        <v>4.23999977111815</v>
      </c>
      <c r="P97" s="189">
        <f t="shared" si="57"/>
        <v>0.927480019085434</v>
      </c>
      <c r="Q97" s="203">
        <f t="shared" si="58"/>
        <v>0.552486205311334</v>
      </c>
      <c r="R97" s="203">
        <f t="shared" si="59"/>
        <v>0.289855068457574</v>
      </c>
      <c r="S97" s="203">
        <f t="shared" si="60"/>
        <v>0.235849069335275</v>
      </c>
      <c r="T97" s="204">
        <f t="shared" si="61"/>
        <v>0.512419916246595</v>
      </c>
      <c r="U97" s="204">
        <f t="shared" si="62"/>
        <v>0.268834784425041</v>
      </c>
      <c r="V97" s="204">
        <f t="shared" si="63"/>
        <v>0.218745299328363</v>
      </c>
      <c r="W97" s="184">
        <f t="shared" si="64"/>
        <v>1</v>
      </c>
      <c r="X97" s="205" t="str">
        <f t="shared" si="73"/>
        <v>1-1</v>
      </c>
    </row>
    <row r="98" spans="1:24">
      <c r="A98" s="184" t="str">
        <f t="shared" si="66"/>
        <v>大阪樱花</v>
      </c>
      <c r="B98" s="184" t="str">
        <f t="shared" si="67"/>
        <v>大阪樱花</v>
      </c>
      <c r="C98" s="184" t="str">
        <f t="shared" si="68"/>
        <v>大阪樱花</v>
      </c>
      <c r="D98" s="185" t="e">
        <f t="shared" si="69"/>
        <v>#VALUE!</v>
      </c>
      <c r="E98" s="184" t="str">
        <f t="shared" si="46"/>
        <v>大阪樱花</v>
      </c>
      <c r="F98" s="184">
        <f t="shared" si="47"/>
        <v>0</v>
      </c>
      <c r="G98" s="186">
        <f t="shared" si="48"/>
        <v>4</v>
      </c>
      <c r="H98" s="186">
        <f t="shared" si="49"/>
        <v>0</v>
      </c>
      <c r="I98" s="186">
        <f t="shared" si="50"/>
        <v>2</v>
      </c>
      <c r="J98" s="186">
        <f t="shared" si="51"/>
        <v>2</v>
      </c>
      <c r="K98" s="186">
        <f t="shared" si="52"/>
        <v>2</v>
      </c>
      <c r="L98" s="186">
        <f t="shared" si="53"/>
        <v>2</v>
      </c>
      <c r="M98" s="188">
        <f t="shared" si="70"/>
        <v>1.6599999666214</v>
      </c>
      <c r="N98" s="188">
        <f t="shared" si="71"/>
        <v>3.80999994277954</v>
      </c>
      <c r="O98" s="188">
        <f t="shared" si="72"/>
        <v>4.55999994277954</v>
      </c>
      <c r="P98" s="189">
        <f t="shared" si="57"/>
        <v>0.922360239598641</v>
      </c>
      <c r="Q98" s="203">
        <f t="shared" si="58"/>
        <v>0.602409650667223</v>
      </c>
      <c r="R98" s="203">
        <f t="shared" si="59"/>
        <v>0.262467195542911</v>
      </c>
      <c r="S98" s="203">
        <f t="shared" si="60"/>
        <v>0.219298248365865</v>
      </c>
      <c r="T98" s="204">
        <f t="shared" si="61"/>
        <v>0.555638709725954</v>
      </c>
      <c r="U98" s="204">
        <f t="shared" si="62"/>
        <v>0.242089305367743</v>
      </c>
      <c r="V98" s="204">
        <f t="shared" si="63"/>
        <v>0.202271984906302</v>
      </c>
      <c r="W98" s="184">
        <f t="shared" si="64"/>
        <v>1</v>
      </c>
      <c r="X98" s="205" t="str">
        <f t="shared" si="73"/>
        <v>2-2</v>
      </c>
    </row>
    <row r="99" spans="1:24">
      <c r="A99" s="184" t="str">
        <f t="shared" si="66"/>
        <v>大阪樱花</v>
      </c>
      <c r="B99" s="184" t="str">
        <f t="shared" si="67"/>
        <v>大阪樱花</v>
      </c>
      <c r="C99" s="184" t="e">
        <f t="shared" si="68"/>
        <v>#VALUE!</v>
      </c>
      <c r="D99" s="185" t="str">
        <f t="shared" si="69"/>
        <v>大阪樱花</v>
      </c>
      <c r="E99" s="184">
        <f t="shared" si="46"/>
        <v>0</v>
      </c>
      <c r="F99" s="184" t="str">
        <f t="shared" si="47"/>
        <v>大阪樱花</v>
      </c>
      <c r="G99" s="186">
        <f t="shared" si="48"/>
        <v>0</v>
      </c>
      <c r="H99" s="186">
        <f t="shared" si="49"/>
        <v>4</v>
      </c>
      <c r="I99" s="186">
        <f t="shared" si="50"/>
        <v>3</v>
      </c>
      <c r="J99" s="186">
        <f t="shared" si="51"/>
        <v>0</v>
      </c>
      <c r="K99" s="186">
        <f t="shared" si="52"/>
        <v>0</v>
      </c>
      <c r="L99" s="186">
        <f t="shared" si="53"/>
        <v>3</v>
      </c>
      <c r="M99" s="188">
        <f t="shared" si="70"/>
        <v>2.18000006675719</v>
      </c>
      <c r="N99" s="188">
        <f t="shared" si="71"/>
        <v>3.25</v>
      </c>
      <c r="O99" s="188">
        <f t="shared" si="72"/>
        <v>3.14000010490416</v>
      </c>
      <c r="P99" s="189">
        <f t="shared" si="57"/>
        <v>0.921761597427693</v>
      </c>
      <c r="Q99" s="203">
        <f t="shared" si="58"/>
        <v>0.458715582283225</v>
      </c>
      <c r="R99" s="203">
        <f t="shared" si="59"/>
        <v>0.307692307692307</v>
      </c>
      <c r="S99" s="203">
        <f t="shared" si="60"/>
        <v>0.318471326939818</v>
      </c>
      <c r="T99" s="204">
        <f t="shared" si="61"/>
        <v>0.42282640789036</v>
      </c>
      <c r="U99" s="204">
        <f t="shared" si="62"/>
        <v>0.283618953054674</v>
      </c>
      <c r="V99" s="204">
        <f t="shared" si="63"/>
        <v>0.293554639054964</v>
      </c>
      <c r="W99" s="184">
        <f t="shared" si="64"/>
        <v>0</v>
      </c>
      <c r="X99" s="205" t="str">
        <f t="shared" si="73"/>
        <v>3-0</v>
      </c>
    </row>
    <row r="100" spans="1:24">
      <c r="A100" s="184" t="str">
        <f t="shared" si="66"/>
        <v>大阪樱花</v>
      </c>
      <c r="B100" s="184" t="str">
        <f t="shared" si="67"/>
        <v>大阪樱花</v>
      </c>
      <c r="C100" s="184" t="e">
        <f t="shared" si="68"/>
        <v>#VALUE!</v>
      </c>
      <c r="D100" s="185" t="str">
        <f t="shared" si="69"/>
        <v>大阪樱花</v>
      </c>
      <c r="E100" s="184">
        <f t="shared" si="46"/>
        <v>0</v>
      </c>
      <c r="F100" s="184" t="str">
        <f t="shared" si="47"/>
        <v>大阪樱花</v>
      </c>
      <c r="G100" s="186">
        <f t="shared" si="48"/>
        <v>0</v>
      </c>
      <c r="H100" s="186">
        <f t="shared" si="49"/>
        <v>4</v>
      </c>
      <c r="I100" s="186">
        <f t="shared" si="50"/>
        <v>1</v>
      </c>
      <c r="J100" s="186">
        <f t="shared" si="51"/>
        <v>2</v>
      </c>
      <c r="K100" s="186">
        <f t="shared" si="52"/>
        <v>2</v>
      </c>
      <c r="L100" s="186">
        <f t="shared" si="53"/>
        <v>1</v>
      </c>
      <c r="M100" s="188">
        <f t="shared" si="70"/>
        <v>3.16000008583068</v>
      </c>
      <c r="N100" s="188">
        <f t="shared" si="71"/>
        <v>3.34999990463257</v>
      </c>
      <c r="O100" s="188">
        <f t="shared" si="72"/>
        <v>2.15000009536742</v>
      </c>
      <c r="P100" s="189">
        <f t="shared" si="57"/>
        <v>0.925857843457915</v>
      </c>
      <c r="Q100" s="203">
        <f t="shared" si="58"/>
        <v>0.316455687607085</v>
      </c>
      <c r="R100" s="203">
        <f t="shared" si="59"/>
        <v>0.298507471184444</v>
      </c>
      <c r="S100" s="203">
        <f t="shared" si="60"/>
        <v>0.465116258438631</v>
      </c>
      <c r="T100" s="204">
        <f t="shared" si="61"/>
        <v>0.292992980477887</v>
      </c>
      <c r="U100" s="204">
        <f t="shared" si="62"/>
        <v>0.276375483526906</v>
      </c>
      <c r="V100" s="204">
        <f t="shared" si="63"/>
        <v>0.430631535995205</v>
      </c>
      <c r="W100" s="184">
        <f t="shared" si="64"/>
        <v>3</v>
      </c>
      <c r="X100" s="205" t="str">
        <f t="shared" si="73"/>
        <v>1-2</v>
      </c>
    </row>
    <row r="101" spans="1:24">
      <c r="A101" s="184" t="str">
        <f t="shared" si="66"/>
        <v>大阪樱花</v>
      </c>
      <c r="B101" s="184" t="str">
        <f t="shared" si="67"/>
        <v>大阪樱花</v>
      </c>
      <c r="C101" s="184" t="str">
        <f t="shared" si="68"/>
        <v>大阪樱花</v>
      </c>
      <c r="D101" s="185" t="e">
        <f t="shared" si="69"/>
        <v>#VALUE!</v>
      </c>
      <c r="E101" s="184" t="str">
        <f t="shared" si="46"/>
        <v>大阪樱花</v>
      </c>
      <c r="F101" s="184">
        <f t="shared" si="47"/>
        <v>0</v>
      </c>
      <c r="G101" s="186">
        <f t="shared" si="48"/>
        <v>4</v>
      </c>
      <c r="H101" s="186">
        <f t="shared" si="49"/>
        <v>0</v>
      </c>
      <c r="I101" s="186">
        <f t="shared" si="50"/>
        <v>0</v>
      </c>
      <c r="J101" s="186">
        <f t="shared" si="51"/>
        <v>1</v>
      </c>
      <c r="K101" s="186">
        <f t="shared" si="52"/>
        <v>0</v>
      </c>
      <c r="L101" s="186">
        <f t="shared" si="53"/>
        <v>1</v>
      </c>
      <c r="M101" s="188">
        <f t="shared" si="70"/>
        <v>2.44000005722045</v>
      </c>
      <c r="N101" s="188">
        <f t="shared" si="71"/>
        <v>3.29999995231628</v>
      </c>
      <c r="O101" s="188">
        <f t="shared" si="72"/>
        <v>2.71000003814697</v>
      </c>
      <c r="P101" s="189">
        <f t="shared" si="57"/>
        <v>0.924325432292472</v>
      </c>
      <c r="Q101" s="203">
        <f t="shared" si="58"/>
        <v>0.409836055962701</v>
      </c>
      <c r="R101" s="203">
        <f t="shared" si="59"/>
        <v>0.303030307408973</v>
      </c>
      <c r="S101" s="203">
        <f t="shared" si="60"/>
        <v>0.369003684842666</v>
      </c>
      <c r="T101" s="204">
        <f t="shared" si="61"/>
        <v>0.378821889596766</v>
      </c>
      <c r="U101" s="204">
        <f t="shared" si="62"/>
        <v>0.28009861989352</v>
      </c>
      <c r="V101" s="204">
        <f t="shared" si="63"/>
        <v>0.341079490509713</v>
      </c>
      <c r="W101" s="184">
        <f t="shared" si="64"/>
        <v>0</v>
      </c>
      <c r="X101" s="205" t="str">
        <f t="shared" si="73"/>
        <v>0-1</v>
      </c>
    </row>
    <row r="102" spans="1:24">
      <c r="A102" s="184" t="str">
        <f t="shared" si="66"/>
        <v>大阪樱花</v>
      </c>
      <c r="B102" s="184" t="str">
        <f t="shared" si="67"/>
        <v>大阪樱花</v>
      </c>
      <c r="C102" s="184" t="str">
        <f t="shared" si="68"/>
        <v>大阪樱花</v>
      </c>
      <c r="D102" s="185" t="e">
        <f t="shared" si="69"/>
        <v>#VALUE!</v>
      </c>
      <c r="E102" s="184" t="str">
        <f t="shared" si="46"/>
        <v>大阪樱花</v>
      </c>
      <c r="F102" s="184">
        <f t="shared" si="47"/>
        <v>0</v>
      </c>
      <c r="G102" s="186">
        <f t="shared" si="48"/>
        <v>4</v>
      </c>
      <c r="H102" s="186">
        <f t="shared" si="49"/>
        <v>0</v>
      </c>
      <c r="I102" s="186">
        <f t="shared" si="50"/>
        <v>0</v>
      </c>
      <c r="J102" s="186">
        <f t="shared" si="51"/>
        <v>0</v>
      </c>
      <c r="K102" s="186">
        <f t="shared" si="52"/>
        <v>0</v>
      </c>
      <c r="L102" s="186">
        <f t="shared" si="53"/>
        <v>0</v>
      </c>
      <c r="M102" s="188">
        <f t="shared" si="70"/>
        <v>1.9099999666214</v>
      </c>
      <c r="N102" s="188">
        <f t="shared" si="71"/>
        <v>3.3199999332428</v>
      </c>
      <c r="O102" s="188">
        <f t="shared" si="72"/>
        <v>3.78999996185303</v>
      </c>
      <c r="P102" s="189">
        <f t="shared" si="57"/>
        <v>0.918596470791431</v>
      </c>
      <c r="Q102" s="203">
        <f t="shared" si="58"/>
        <v>0.523560218573668</v>
      </c>
      <c r="R102" s="203">
        <f t="shared" si="59"/>
        <v>0.301204825333611</v>
      </c>
      <c r="S102" s="203">
        <f t="shared" si="60"/>
        <v>0.263852245399779</v>
      </c>
      <c r="T102" s="204">
        <f t="shared" si="61"/>
        <v>0.480940569028562</v>
      </c>
      <c r="U102" s="204">
        <f t="shared" si="62"/>
        <v>0.276685689536805</v>
      </c>
      <c r="V102" s="204">
        <f t="shared" si="63"/>
        <v>0.242373741434632</v>
      </c>
      <c r="W102" s="184">
        <f t="shared" si="64"/>
        <v>1</v>
      </c>
      <c r="X102" s="205" t="str">
        <f t="shared" si="73"/>
        <v>0-0</v>
      </c>
    </row>
    <row r="103" spans="1:24">
      <c r="A103" s="184" t="str">
        <f t="shared" si="66"/>
        <v>大阪樱花</v>
      </c>
      <c r="B103" s="184" t="str">
        <f t="shared" si="67"/>
        <v>大阪樱花</v>
      </c>
      <c r="C103" s="184" t="e">
        <f t="shared" si="68"/>
        <v>#VALUE!</v>
      </c>
      <c r="D103" s="185" t="str">
        <f t="shared" si="69"/>
        <v>大阪樱花</v>
      </c>
      <c r="E103" s="184">
        <f t="shared" si="46"/>
        <v>0</v>
      </c>
      <c r="F103" s="184" t="str">
        <f t="shared" si="47"/>
        <v>大阪樱花</v>
      </c>
      <c r="G103" s="186">
        <f t="shared" si="48"/>
        <v>0</v>
      </c>
      <c r="H103" s="186">
        <f t="shared" si="49"/>
        <v>4</v>
      </c>
      <c r="I103" s="186">
        <f t="shared" si="50"/>
        <v>0</v>
      </c>
      <c r="J103" s="186">
        <f t="shared" si="51"/>
        <v>2</v>
      </c>
      <c r="K103" s="186">
        <f t="shared" si="52"/>
        <v>2</v>
      </c>
      <c r="L103" s="186">
        <f t="shared" si="53"/>
        <v>0</v>
      </c>
      <c r="M103" s="188">
        <f t="shared" si="70"/>
        <v>1.94000005722046</v>
      </c>
      <c r="N103" s="188">
        <f t="shared" si="71"/>
        <v>3.38000011444092</v>
      </c>
      <c r="O103" s="188">
        <f t="shared" si="72"/>
        <v>3.67000007629395</v>
      </c>
      <c r="P103" s="189">
        <f t="shared" si="57"/>
        <v>0.922678236219545</v>
      </c>
      <c r="Q103" s="203">
        <f t="shared" si="58"/>
        <v>0.515463902322122</v>
      </c>
      <c r="R103" s="203">
        <f t="shared" si="59"/>
        <v>0.295857978148444</v>
      </c>
      <c r="S103" s="203">
        <f t="shared" si="60"/>
        <v>0.272479558368244</v>
      </c>
      <c r="T103" s="204">
        <f t="shared" si="61"/>
        <v>0.47560732422942</v>
      </c>
      <c r="U103" s="204">
        <f t="shared" si="62"/>
        <v>0.272981717449487</v>
      </c>
      <c r="V103" s="204">
        <f t="shared" si="63"/>
        <v>0.251410958321092</v>
      </c>
      <c r="W103" s="184">
        <f t="shared" si="64"/>
        <v>3</v>
      </c>
      <c r="X103" s="205" t="str">
        <f t="shared" si="73"/>
        <v>0-2</v>
      </c>
    </row>
    <row r="104" spans="1:24">
      <c r="A104" s="184" t="str">
        <f t="shared" si="66"/>
        <v>大阪樱花</v>
      </c>
      <c r="B104" s="184" t="str">
        <f t="shared" si="67"/>
        <v>大阪樱花</v>
      </c>
      <c r="C104" s="184" t="str">
        <f t="shared" si="68"/>
        <v>大阪樱花</v>
      </c>
      <c r="D104" s="185" t="e">
        <f>REPLACE(E39,SEARCH(B$95,E39),0,"")</f>
        <v>#VALUE!</v>
      </c>
      <c r="E104" s="184" t="str">
        <f t="shared" si="46"/>
        <v>大阪樱花</v>
      </c>
      <c r="F104" s="184">
        <f t="shared" si="47"/>
        <v>0</v>
      </c>
      <c r="G104" s="186">
        <f t="shared" si="48"/>
        <v>4</v>
      </c>
      <c r="H104" s="186">
        <f t="shared" si="49"/>
        <v>0</v>
      </c>
      <c r="I104" s="186">
        <f t="shared" si="50"/>
        <v>3</v>
      </c>
      <c r="J104" s="186">
        <f t="shared" si="51"/>
        <v>1</v>
      </c>
      <c r="K104" s="186">
        <f t="shared" si="52"/>
        <v>3</v>
      </c>
      <c r="L104" s="186">
        <f t="shared" si="53"/>
        <v>1</v>
      </c>
      <c r="M104" s="188">
        <f t="shared" si="70"/>
        <v>1.88999998569488</v>
      </c>
      <c r="N104" s="188">
        <f t="shared" si="71"/>
        <v>3.36999988555907</v>
      </c>
      <c r="O104" s="188">
        <f t="shared" si="72"/>
        <v>3.91000008583068</v>
      </c>
      <c r="P104" s="190">
        <f t="shared" si="57"/>
        <v>0.92456397614482</v>
      </c>
      <c r="Q104" s="206">
        <f t="shared" si="58"/>
        <v>0.529100533105207</v>
      </c>
      <c r="R104" s="206">
        <f t="shared" si="59"/>
        <v>0.296735915121285</v>
      </c>
      <c r="S104" s="206">
        <f t="shared" si="60"/>
        <v>0.255754470089109</v>
      </c>
      <c r="T104" s="204">
        <f t="shared" si="61"/>
        <v>0.489187292668094</v>
      </c>
      <c r="U104" s="204">
        <f t="shared" si="62"/>
        <v>0.274351337549507</v>
      </c>
      <c r="V104" s="204">
        <f t="shared" si="63"/>
        <v>0.236461369782398</v>
      </c>
      <c r="W104" s="184">
        <f t="shared" si="64"/>
        <v>3</v>
      </c>
      <c r="X104" s="205" t="str">
        <f t="shared" si="73"/>
        <v>3-1</v>
      </c>
    </row>
    <row r="112" spans="1:12">
      <c r="A112" s="120" t="str">
        <f>RIGHT(A11,LEN(A11)-FIND("主",A11))</f>
        <v>法乙法国杯法联杯球会友谊</v>
      </c>
      <c r="B112" s="26" t="s">
        <v>107</v>
      </c>
      <c r="C112" s="183" t="str">
        <f>MID(A112,1,5)</f>
        <v>法乙法国杯</v>
      </c>
      <c r="D112" s="183"/>
      <c r="E112" s="183"/>
      <c r="F112" s="26"/>
      <c r="G112" s="26"/>
      <c r="H112" s="26"/>
      <c r="I112" s="26"/>
      <c r="J112" s="26"/>
      <c r="K112" s="26"/>
      <c r="L112" s="176"/>
    </row>
    <row r="113" spans="1:12">
      <c r="A113" s="26" t="str">
        <f>LEFT(A24,FIND("率",A24))</f>
        <v>近10场,胜3平4负3, 胜率</v>
      </c>
      <c r="B113" s="26" t="s">
        <v>107</v>
      </c>
      <c r="C113" s="183" t="str">
        <f>A81&amp;F113&amp;A113</f>
        <v>＿近10场,胜3平4负3, 胜率</v>
      </c>
      <c r="D113" s="183"/>
      <c r="E113" s="183"/>
      <c r="F113" s="26" t="s">
        <v>107</v>
      </c>
      <c r="G113" s="26" t="str">
        <f>LEFT(A24,FIND("大",A24)-1)</f>
        <v>近10场,胜3平4负3, 胜率:30% 赢盘率:44.4% </v>
      </c>
      <c r="H113" s="26" t="str">
        <f>RIGHT(A24,LEN(A24)-FIND("盘",A24)-2)</f>
        <v>44.4% 大球:33.3% 单率:40%</v>
      </c>
      <c r="I113" s="26"/>
      <c r="J113" s="26"/>
      <c r="K113" s="26" t="str">
        <f>LEFT(H113,FIND("大",H113)-3)</f>
        <v>44.4</v>
      </c>
      <c r="L113" s="91">
        <f>VALUE(K113)/100</f>
        <v>0.444</v>
      </c>
    </row>
    <row r="114" spans="1:12">
      <c r="A114" s="26" t="str">
        <f>MID(A113,1,11)</f>
        <v>近10场,胜3平4负3</v>
      </c>
      <c r="B114" s="26" t="str">
        <f>RIGHT(A114,LEN(A114)-FIND(",",A114))</f>
        <v>胜3平4负3</v>
      </c>
      <c r="C114" s="183" t="str">
        <f>A81&amp;F114&amp;B114</f>
        <v>＿胜3平4负3</v>
      </c>
      <c r="D114" s="183"/>
      <c r="E114" s="183"/>
      <c r="F114" s="26" t="s">
        <v>107</v>
      </c>
      <c r="G114" s="26"/>
      <c r="H114" s="26" t="str">
        <f>RIGHT(A39,LEN(A39)-FIND("盘",A39)-2)</f>
        <v>44.4% 大球:55.6% 单率:30%</v>
      </c>
      <c r="I114" s="26"/>
      <c r="J114" s="26"/>
      <c r="K114" s="26" t="str">
        <f>LEFT(H114,FIND("大",H114)-3)</f>
        <v>44.4</v>
      </c>
      <c r="L114" s="91">
        <f>VALUE(K114)/100</f>
        <v>0.444</v>
      </c>
    </row>
    <row r="115" spans="1:12">
      <c r="A115" s="26" t="str">
        <f>LEFT(A39,FIND("率",A39))</f>
        <v>近10场,胜4平5负1, 胜率</v>
      </c>
      <c r="B115" s="26" t="str">
        <f>RIGHT(A115,LEN(A115)-FIND(",",A115))</f>
        <v>胜4平5负1, 胜率</v>
      </c>
      <c r="C115" s="183" t="str">
        <f>A95&amp;F115&amp;B115</f>
        <v>大阪樱花＿胜4平5负1, 胜率</v>
      </c>
      <c r="D115" s="183"/>
      <c r="E115" s="183"/>
      <c r="F115" s="26" t="s">
        <v>107</v>
      </c>
      <c r="G115" s="26"/>
      <c r="H115" s="26"/>
      <c r="I115" s="26"/>
      <c r="J115" s="26"/>
      <c r="K115" s="26"/>
      <c r="L115" s="26"/>
    </row>
    <row r="116" spans="1:12">
      <c r="A116" s="26" t="str">
        <f>MID(A115,1,11)</f>
        <v>近10场,胜4平5负1</v>
      </c>
      <c r="B116" s="26" t="str">
        <f>RIGHT(A116,LEN(A116)-FIND(",",A116))</f>
        <v>胜4平5负1</v>
      </c>
      <c r="C116" s="183" t="str">
        <f>A95&amp;F116&amp;B116</f>
        <v>大阪樱花＿胜4平5负1</v>
      </c>
      <c r="D116" s="183"/>
      <c r="E116" s="183"/>
      <c r="F116" s="26" t="s">
        <v>107</v>
      </c>
      <c r="G116" s="26"/>
      <c r="H116" s="26"/>
      <c r="I116" s="26"/>
      <c r="J116" s="26"/>
      <c r="K116" s="26"/>
      <c r="L116" s="26"/>
    </row>
    <row r="117" spans="1:2">
      <c r="A117" s="26">
        <f>MID(A2,1,14)</f>
        <v>0</v>
      </c>
      <c r="B117" s="26"/>
    </row>
    <row r="118" spans="1:2">
      <c r="A118" s="26" t="e">
        <f>RIGHT(A3,LEN(A3)-FIND("钟",A3))</f>
        <v>#VALUE!</v>
      </c>
      <c r="B118" s="183" t="e">
        <f>LEFT(A118,FIND("资",A118)-1)</f>
        <v>#VALUE!</v>
      </c>
    </row>
  </sheetData>
  <mergeCells count="13">
    <mergeCell ref="A40:N40"/>
    <mergeCell ref="B41:C41"/>
    <mergeCell ref="H41:J41"/>
    <mergeCell ref="K41:M41"/>
    <mergeCell ref="B54:C54"/>
    <mergeCell ref="H54:J54"/>
    <mergeCell ref="K54:M54"/>
    <mergeCell ref="Q69:Y69"/>
    <mergeCell ref="C112:E112"/>
    <mergeCell ref="C113:E113"/>
    <mergeCell ref="C114:E114"/>
    <mergeCell ref="C115:E115"/>
    <mergeCell ref="C116:E116"/>
  </mergeCells>
  <conditionalFormatting sqref="D41:E41">
    <cfRule type="containsText" dxfId="1" priority="2" operator="between" text="主场">
      <formula>NOT(ISERROR(SEARCH("主场",D41)))</formula>
    </cfRule>
  </conditionalFormatting>
  <conditionalFormatting sqref="F41:G41">
    <cfRule type="containsText" dxfId="1" priority="1" operator="between" text="主场">
      <formula>NOT(ISERROR(SEARCH("主场",F41)))</formula>
    </cfRule>
  </conditionalFormatting>
  <conditionalFormatting sqref="D54:E54">
    <cfRule type="containsText" dxfId="1" priority="7" operator="between" text="主场">
      <formula>NOT(ISERROR(SEARCH("主场",D54)))</formula>
    </cfRule>
  </conditionalFormatting>
  <conditionalFormatting sqref="F54:G54">
    <cfRule type="containsText" dxfId="1" priority="6" operator="between" text="主场">
      <formula>NOT(ISERROR(SEARCH("主场",F54)))</formula>
    </cfRule>
  </conditionalFormatting>
  <conditionalFormatting sqref="A42:A53 A55:A66">
    <cfRule type="containsText" dxfId="1" priority="8" operator="between" text="主场">
      <formula>NOT(ISERROR(SEARCH("主场",A42)))</formula>
    </cfRule>
  </conditionalFormatting>
  <conditionalFormatting sqref="D42:M51">
    <cfRule type="cellIs" dxfId="2" priority="3" operator="equal">
      <formula>0</formula>
    </cfRule>
  </conditionalFormatting>
  <conditionalFormatting sqref="D55:G64">
    <cfRule type="cellIs" dxfId="2" priority="4" operator="equal">
      <formula>0</formula>
    </cfRule>
  </conditionalFormatting>
  <conditionalFormatting sqref="H55:M64">
    <cfRule type="cellIs" dxfId="2" priority="5" operator="equal">
      <formula>0</formula>
    </cfRule>
  </conditionalFormatting>
  <conditionalFormatting sqref="C85:D94">
    <cfRule type="containsErrors" dxfId="3" priority="10">
      <formula>ISERROR(C85)</formula>
    </cfRule>
  </conditionalFormatting>
  <conditionalFormatting sqref="C95:D104">
    <cfRule type="containsErrors" dxfId="4" priority="11">
      <formula>ISERROR(C95)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M56"/>
  <sheetViews>
    <sheetView workbookViewId="0">
      <selection activeCell="D12" sqref="D12"/>
    </sheetView>
  </sheetViews>
  <sheetFormatPr defaultColWidth="9" defaultRowHeight="14.25"/>
  <cols>
    <col min="4" max="4" width="16.875" customWidth="1"/>
    <col min="5" max="5" width="14" customWidth="1"/>
    <col min="7" max="7" width="18.875" customWidth="1"/>
    <col min="8" max="8" width="10.625" customWidth="1"/>
    <col min="10" max="10" width="15" customWidth="1"/>
    <col min="12" max="12" width="11.5" customWidth="1"/>
  </cols>
  <sheetData>
    <row r="1" spans="1:13">
      <c r="A1" s="149" t="s">
        <v>108</v>
      </c>
      <c r="B1" s="149"/>
      <c r="C1" s="149"/>
      <c r="D1" s="149"/>
      <c r="E1" s="149"/>
      <c r="F1" s="149"/>
      <c r="G1" s="149"/>
      <c r="H1" s="149"/>
      <c r="I1" s="149"/>
      <c r="J1" s="149"/>
      <c r="L1" s="120" t="s">
        <v>39</v>
      </c>
      <c r="M1" s="120">
        <v>0.125</v>
      </c>
    </row>
    <row r="2" spans="1:13">
      <c r="A2" s="149" t="s">
        <v>109</v>
      </c>
      <c r="B2" s="149" t="s">
        <v>110</v>
      </c>
      <c r="C2" s="149" t="s">
        <v>111</v>
      </c>
      <c r="D2" s="149"/>
      <c r="E2" s="149"/>
      <c r="F2" s="149"/>
      <c r="G2" s="149"/>
      <c r="H2" s="149"/>
      <c r="I2" s="149" t="s">
        <v>112</v>
      </c>
      <c r="J2" s="149"/>
      <c r="L2" s="120" t="s">
        <v>113</v>
      </c>
      <c r="M2" s="120">
        <v>0.25</v>
      </c>
    </row>
    <row r="3" spans="1:13">
      <c r="A3" s="149"/>
      <c r="B3" s="149"/>
      <c r="C3" s="149" t="s">
        <v>114</v>
      </c>
      <c r="D3" s="149" t="s">
        <v>26</v>
      </c>
      <c r="E3" s="149" t="s">
        <v>115</v>
      </c>
      <c r="F3" s="149" t="s">
        <v>114</v>
      </c>
      <c r="G3" s="149" t="s">
        <v>26</v>
      </c>
      <c r="H3" s="149" t="s">
        <v>115</v>
      </c>
      <c r="I3" s="149"/>
      <c r="J3" s="149"/>
      <c r="L3" s="120" t="s">
        <v>116</v>
      </c>
      <c r="M3" s="120">
        <v>0.75</v>
      </c>
    </row>
    <row r="4" spans="1:13">
      <c r="A4" s="149" t="s">
        <v>117</v>
      </c>
      <c r="B4" s="149"/>
      <c r="C4" s="149">
        <v>0.8</v>
      </c>
      <c r="D4" s="149" t="s">
        <v>113</v>
      </c>
      <c r="E4" s="149">
        <v>1.08</v>
      </c>
      <c r="F4" s="149">
        <v>1.08</v>
      </c>
      <c r="G4" s="149" t="s">
        <v>113</v>
      </c>
      <c r="H4" s="149">
        <v>0.82</v>
      </c>
      <c r="I4" s="149"/>
      <c r="J4" s="149" t="s">
        <v>118</v>
      </c>
      <c r="L4" s="120" t="s">
        <v>119</v>
      </c>
      <c r="M4" s="120">
        <v>1</v>
      </c>
    </row>
    <row r="5" spans="1:13">
      <c r="A5" s="149" t="s">
        <v>120</v>
      </c>
      <c r="B5" s="150"/>
      <c r="C5" s="149">
        <v>0.949999988079071</v>
      </c>
      <c r="D5" s="149" t="s">
        <v>113</v>
      </c>
      <c r="E5" s="149">
        <v>0.910000026226044</v>
      </c>
      <c r="F5" s="149">
        <v>0.699999988079071</v>
      </c>
      <c r="G5" s="149" t="s">
        <v>113</v>
      </c>
      <c r="H5" s="149">
        <v>1.1599999666214</v>
      </c>
      <c r="I5" s="149"/>
      <c r="J5" s="149" t="s">
        <v>118</v>
      </c>
      <c r="L5" s="120" t="s">
        <v>121</v>
      </c>
      <c r="M5" s="120">
        <v>1.25</v>
      </c>
    </row>
    <row r="6" spans="1:13">
      <c r="A6" s="149" t="s">
        <v>122</v>
      </c>
      <c r="B6" s="150"/>
      <c r="C6" s="149">
        <v>1.05999994277954</v>
      </c>
      <c r="D6" s="149" t="s">
        <v>113</v>
      </c>
      <c r="E6" s="149">
        <v>0.819999992847443</v>
      </c>
      <c r="F6" s="149">
        <v>1.00999999046326</v>
      </c>
      <c r="G6" s="149" t="s">
        <v>36</v>
      </c>
      <c r="H6" s="149">
        <v>0.889999985694885</v>
      </c>
      <c r="I6" s="149"/>
      <c r="J6" s="149"/>
      <c r="L6" s="120" t="s">
        <v>123</v>
      </c>
      <c r="M6" s="120">
        <v>1.5</v>
      </c>
    </row>
    <row r="7" spans="1:13">
      <c r="A7" s="149" t="s">
        <v>124</v>
      </c>
      <c r="B7" s="150"/>
      <c r="C7" s="149">
        <v>1.02999997138977</v>
      </c>
      <c r="D7" s="149" t="s">
        <v>113</v>
      </c>
      <c r="E7" s="149">
        <v>0.839999973773956</v>
      </c>
      <c r="F7" s="149">
        <v>1.02999997138977</v>
      </c>
      <c r="G7" s="149" t="s">
        <v>36</v>
      </c>
      <c r="H7" s="149">
        <v>0.870000004768372</v>
      </c>
      <c r="I7" s="149"/>
      <c r="J7" s="149" t="s">
        <v>118</v>
      </c>
      <c r="L7" s="120" t="s">
        <v>125</v>
      </c>
      <c r="M7" s="120">
        <v>1.75</v>
      </c>
    </row>
    <row r="8" spans="1:13">
      <c r="A8" s="149" t="s">
        <v>126</v>
      </c>
      <c r="B8" s="150"/>
      <c r="C8" s="149">
        <v>1.07000005245209</v>
      </c>
      <c r="D8" s="149" t="s">
        <v>113</v>
      </c>
      <c r="E8" s="149">
        <v>0.850000023841858</v>
      </c>
      <c r="F8" s="149">
        <v>1.05999994277954</v>
      </c>
      <c r="G8" s="149" t="s">
        <v>36</v>
      </c>
      <c r="H8" s="149">
        <v>0.860000014305115</v>
      </c>
      <c r="I8" s="149"/>
      <c r="J8" s="149" t="s">
        <v>118</v>
      </c>
      <c r="L8" s="120" t="s">
        <v>127</v>
      </c>
      <c r="M8" s="120">
        <v>2</v>
      </c>
    </row>
    <row r="9" spans="1:13">
      <c r="A9" s="149" t="s">
        <v>128</v>
      </c>
      <c r="B9" s="150"/>
      <c r="C9" s="149">
        <v>1.03999996185303</v>
      </c>
      <c r="D9" s="149" t="s">
        <v>113</v>
      </c>
      <c r="E9" s="149">
        <v>0.879999995231628</v>
      </c>
      <c r="F9" s="149">
        <v>1.01999998092651</v>
      </c>
      <c r="G9" s="149" t="s">
        <v>36</v>
      </c>
      <c r="H9" s="149">
        <v>0.899999976158142</v>
      </c>
      <c r="I9" s="149"/>
      <c r="J9" s="149" t="s">
        <v>118</v>
      </c>
      <c r="L9" s="120" t="s">
        <v>129</v>
      </c>
      <c r="M9" s="120">
        <v>2.25</v>
      </c>
    </row>
    <row r="10" spans="1:13">
      <c r="A10" s="149" t="s">
        <v>130</v>
      </c>
      <c r="B10" s="150"/>
      <c r="C10" s="149">
        <v>1.01999998092651</v>
      </c>
      <c r="D10" s="149" t="s">
        <v>113</v>
      </c>
      <c r="E10" s="149">
        <v>0.819999992847443</v>
      </c>
      <c r="F10" s="149">
        <v>1</v>
      </c>
      <c r="G10" s="149" t="s">
        <v>36</v>
      </c>
      <c r="H10" s="149">
        <v>0.850000023841858</v>
      </c>
      <c r="I10" s="149"/>
      <c r="J10" s="149" t="s">
        <v>118</v>
      </c>
      <c r="L10" s="120" t="s">
        <v>131</v>
      </c>
      <c r="M10" s="120">
        <v>2.75</v>
      </c>
    </row>
    <row r="11" spans="1:13">
      <c r="A11" s="149" t="s">
        <v>132</v>
      </c>
      <c r="B11" s="150"/>
      <c r="C11" s="149">
        <v>1.05999994277954</v>
      </c>
      <c r="D11" s="149" t="s">
        <v>113</v>
      </c>
      <c r="E11" s="149">
        <v>0.850000023841858</v>
      </c>
      <c r="F11" s="149">
        <v>1.00999999046326</v>
      </c>
      <c r="G11" s="149" t="s">
        <v>36</v>
      </c>
      <c r="H11" s="149">
        <v>0.889999985694885</v>
      </c>
      <c r="I11" s="149"/>
      <c r="J11" s="149" t="s">
        <v>118</v>
      </c>
      <c r="L11" s="120" t="s">
        <v>133</v>
      </c>
      <c r="M11" s="120">
        <v>3</v>
      </c>
    </row>
    <row r="12" spans="1:13">
      <c r="A12" s="149" t="s">
        <v>134</v>
      </c>
      <c r="B12" s="150"/>
      <c r="C12" s="149">
        <v>0.970000028610229</v>
      </c>
      <c r="D12" s="149" t="s">
        <v>113</v>
      </c>
      <c r="E12" s="149">
        <v>0.930000007152557</v>
      </c>
      <c r="F12" s="149">
        <v>0.740000009536743</v>
      </c>
      <c r="G12" s="149" t="s">
        <v>113</v>
      </c>
      <c r="H12" s="149">
        <v>1.19000005722046</v>
      </c>
      <c r="I12" s="149"/>
      <c r="J12" s="149" t="s">
        <v>118</v>
      </c>
      <c r="L12" s="120" t="s">
        <v>135</v>
      </c>
      <c r="M12" s="120">
        <v>3.25</v>
      </c>
    </row>
    <row r="13" spans="1:13">
      <c r="A13" s="149" t="s">
        <v>136</v>
      </c>
      <c r="B13" s="150"/>
      <c r="C13" s="149">
        <v>1.05999994277954</v>
      </c>
      <c r="D13" s="149" t="s">
        <v>113</v>
      </c>
      <c r="E13" s="149">
        <v>0.860000014305115</v>
      </c>
      <c r="F13" s="149">
        <v>1.03999996185303</v>
      </c>
      <c r="G13" s="149" t="s">
        <v>36</v>
      </c>
      <c r="H13" s="149">
        <v>0.879999995231628</v>
      </c>
      <c r="I13" s="149"/>
      <c r="J13" s="149" t="s">
        <v>118</v>
      </c>
      <c r="L13" s="120" t="s">
        <v>137</v>
      </c>
      <c r="M13" s="120">
        <v>3.75</v>
      </c>
    </row>
    <row r="14" spans="1:13">
      <c r="A14" s="149" t="s">
        <v>138</v>
      </c>
      <c r="B14" s="150"/>
      <c r="C14" s="149">
        <v>1.05999994277954</v>
      </c>
      <c r="D14" s="149" t="s">
        <v>113</v>
      </c>
      <c r="E14" s="149">
        <v>0.860000014305115</v>
      </c>
      <c r="F14" s="149">
        <v>1.00999999046326</v>
      </c>
      <c r="G14" s="149" t="s">
        <v>36</v>
      </c>
      <c r="H14" s="149">
        <v>0.910000026226044</v>
      </c>
      <c r="I14" s="149"/>
      <c r="J14" s="149" t="s">
        <v>118</v>
      </c>
      <c r="L14" s="120" t="s">
        <v>139</v>
      </c>
      <c r="M14" s="120">
        <v>4</v>
      </c>
    </row>
    <row r="15" spans="1:13">
      <c r="A15" s="149" t="s">
        <v>140</v>
      </c>
      <c r="B15" s="149"/>
      <c r="C15" s="149">
        <v>1.08000004291534</v>
      </c>
      <c r="D15" s="149" t="s">
        <v>113</v>
      </c>
      <c r="E15" s="149">
        <v>0.829999983310699</v>
      </c>
      <c r="F15" s="149">
        <v>1.02999997138977</v>
      </c>
      <c r="G15" s="149" t="s">
        <v>36</v>
      </c>
      <c r="H15" s="149">
        <v>0.899999976158142</v>
      </c>
      <c r="I15" s="149"/>
      <c r="J15" s="149" t="s">
        <v>118</v>
      </c>
      <c r="L15" s="120" t="s">
        <v>141</v>
      </c>
      <c r="M15" s="120">
        <v>4.25</v>
      </c>
    </row>
    <row r="16" spans="1:13">
      <c r="A16" s="149"/>
      <c r="B16" s="149"/>
      <c r="C16" s="149"/>
      <c r="D16" s="149"/>
      <c r="E16" s="149"/>
      <c r="F16" s="149"/>
      <c r="G16" s="149"/>
      <c r="H16" s="149"/>
      <c r="I16" s="149"/>
      <c r="J16" s="149" t="s">
        <v>118</v>
      </c>
      <c r="L16" s="120" t="s">
        <v>142</v>
      </c>
      <c r="M16" s="120">
        <v>4.75</v>
      </c>
    </row>
    <row r="17" spans="10:13">
      <c r="J17" t="s">
        <v>118</v>
      </c>
      <c r="L17" s="120" t="s">
        <v>143</v>
      </c>
      <c r="M17" s="120">
        <v>5</v>
      </c>
    </row>
    <row r="18" spans="1:13">
      <c r="A18" s="151" t="s">
        <v>144</v>
      </c>
      <c r="B18" s="152"/>
      <c r="C18" s="153"/>
      <c r="D18" s="153"/>
      <c r="E18" s="153"/>
      <c r="F18" s="153"/>
      <c r="G18" s="153"/>
      <c r="H18" s="153"/>
      <c r="I18" s="161"/>
      <c r="J18" s="161"/>
      <c r="K18" s="162" t="s">
        <v>145</v>
      </c>
      <c r="L18" s="120" t="s">
        <v>146</v>
      </c>
      <c r="M18" s="120">
        <v>5.25</v>
      </c>
    </row>
    <row r="19" spans="3:13">
      <c r="C19" s="153" t="str">
        <f t="shared" ref="C19:C29" si="0">FIXED(C5,2)</f>
        <v>0.95</v>
      </c>
      <c r="D19" s="153">
        <f>VALUE(VLOOKUP(D5,$L$1:$M$50,2,FALSE))</f>
        <v>0.25</v>
      </c>
      <c r="E19" s="153" t="str">
        <f t="shared" ref="E19:E29" si="1">FIXED(E5,2)</f>
        <v>0.91</v>
      </c>
      <c r="F19" s="153" t="str">
        <f t="shared" ref="F19:F29" si="2">FIXED(F5,2)</f>
        <v>0.70</v>
      </c>
      <c r="G19" s="153">
        <f>VALUE(VLOOKUP(G5,$L$1:$M$50,2,FALSE))</f>
        <v>0.25</v>
      </c>
      <c r="H19" s="153" t="str">
        <f t="shared" ref="H19:H29" si="3">FIXED(H5,2)</f>
        <v>1.16</v>
      </c>
      <c r="I19" s="161"/>
      <c r="J19" s="161"/>
      <c r="L19" s="120" t="s">
        <v>147</v>
      </c>
      <c r="M19" s="120">
        <v>5.75</v>
      </c>
    </row>
    <row r="20" spans="3:13">
      <c r="C20" s="153" t="str">
        <f t="shared" si="0"/>
        <v>1.06</v>
      </c>
      <c r="D20" s="153">
        <f>VALUE(VLOOKUP(D6,$L$1:$M$50,2,FALSE))</f>
        <v>0.25</v>
      </c>
      <c r="E20" s="153" t="str">
        <f t="shared" si="1"/>
        <v>0.82</v>
      </c>
      <c r="F20" s="153" t="str">
        <f t="shared" si="2"/>
        <v>1.01</v>
      </c>
      <c r="G20" s="153">
        <f>VALUE(VLOOKUP(G6,$L$1:$M$50,2,FALSE))</f>
        <v>0.5</v>
      </c>
      <c r="H20" s="153" t="str">
        <f t="shared" si="3"/>
        <v>0.89</v>
      </c>
      <c r="I20" s="161"/>
      <c r="J20" s="161"/>
      <c r="L20" s="120" t="s">
        <v>148</v>
      </c>
      <c r="M20" s="120">
        <v>6</v>
      </c>
    </row>
    <row r="21" spans="3:13">
      <c r="C21" s="153" t="str">
        <f t="shared" si="0"/>
        <v>1.03</v>
      </c>
      <c r="D21" s="153">
        <f>VALUE(VLOOKUP(D7,$L$1:$M$50,2,FALSE))</f>
        <v>0.25</v>
      </c>
      <c r="E21" s="153" t="str">
        <f t="shared" si="1"/>
        <v>0.84</v>
      </c>
      <c r="F21" s="153" t="str">
        <f t="shared" si="2"/>
        <v>1.03</v>
      </c>
      <c r="G21" s="153">
        <f>VALUE(VLOOKUP(G7,$L$1:$M$50,2,FALSE))</f>
        <v>0.5</v>
      </c>
      <c r="H21" s="153" t="str">
        <f t="shared" si="3"/>
        <v>0.87</v>
      </c>
      <c r="I21" s="161"/>
      <c r="J21" s="161"/>
      <c r="L21" s="120" t="s">
        <v>36</v>
      </c>
      <c r="M21" s="120">
        <v>0.5</v>
      </c>
    </row>
    <row r="22" spans="3:13">
      <c r="C22" s="153" t="str">
        <f t="shared" si="0"/>
        <v>1.07</v>
      </c>
      <c r="D22" s="153">
        <f>VALUE(VLOOKUP(D8,$L$1:$M$50,2,FALSE))</f>
        <v>0.25</v>
      </c>
      <c r="E22" s="153" t="str">
        <f t="shared" si="1"/>
        <v>0.85</v>
      </c>
      <c r="F22" s="153" t="str">
        <f t="shared" si="2"/>
        <v>1.06</v>
      </c>
      <c r="G22" s="153">
        <f>VALUE(VLOOKUP(G8,$L$1:$M$50,2,FALSE))</f>
        <v>0.5</v>
      </c>
      <c r="H22" s="153" t="str">
        <f t="shared" si="3"/>
        <v>0.86</v>
      </c>
      <c r="I22" s="161"/>
      <c r="J22" s="161"/>
      <c r="L22" s="120" t="s">
        <v>149</v>
      </c>
      <c r="M22" s="120">
        <v>2.5</v>
      </c>
    </row>
    <row r="23" spans="3:13">
      <c r="C23" s="153" t="str">
        <f t="shared" si="0"/>
        <v>1.04</v>
      </c>
      <c r="D23" s="153">
        <f>VALUE(VLOOKUP(D9,$L$1:$M$50,2,FALSE))</f>
        <v>0.25</v>
      </c>
      <c r="E23" s="153" t="str">
        <f t="shared" si="1"/>
        <v>0.88</v>
      </c>
      <c r="F23" s="153" t="str">
        <f t="shared" si="2"/>
        <v>1.02</v>
      </c>
      <c r="G23" s="153">
        <f>VALUE(VLOOKUP(G9,$L$1:$M$50,2,FALSE))</f>
        <v>0.5</v>
      </c>
      <c r="H23" s="153" t="str">
        <f t="shared" si="3"/>
        <v>0.90</v>
      </c>
      <c r="I23" s="161"/>
      <c r="J23" s="161"/>
      <c r="L23" s="120" t="s">
        <v>150</v>
      </c>
      <c r="M23" s="120">
        <v>3.5</v>
      </c>
    </row>
    <row r="24" spans="3:13">
      <c r="C24" s="153" t="str">
        <f t="shared" si="0"/>
        <v>1.02</v>
      </c>
      <c r="D24" s="153">
        <f>VALUE(VLOOKUP(D10,$L$1:$M$50,2,FALSE))</f>
        <v>0.25</v>
      </c>
      <c r="E24" s="153" t="str">
        <f t="shared" si="1"/>
        <v>0.82</v>
      </c>
      <c r="F24" s="153" t="str">
        <f t="shared" si="2"/>
        <v>1.00</v>
      </c>
      <c r="G24" s="153">
        <f>VALUE(VLOOKUP(G10,$L$1:$M$50,2,FALSE))</f>
        <v>0.5</v>
      </c>
      <c r="H24" s="153" t="str">
        <f t="shared" si="3"/>
        <v>0.85</v>
      </c>
      <c r="I24" s="161"/>
      <c r="J24" s="161"/>
      <c r="L24" s="120" t="s">
        <v>151</v>
      </c>
      <c r="M24" s="120">
        <v>4.5</v>
      </c>
    </row>
    <row r="25" spans="3:13">
      <c r="C25" s="153" t="str">
        <f t="shared" si="0"/>
        <v>1.06</v>
      </c>
      <c r="D25" s="153">
        <f>VALUE(VLOOKUP(D11,$L$1:$M$50,2,FALSE))</f>
        <v>0.25</v>
      </c>
      <c r="E25" s="153" t="str">
        <f t="shared" si="1"/>
        <v>0.85</v>
      </c>
      <c r="F25" s="153" t="str">
        <f t="shared" si="2"/>
        <v>1.01</v>
      </c>
      <c r="G25" s="153">
        <f>VALUE(VLOOKUP(G11,$L$1:$M$50,2,FALSE))</f>
        <v>0.5</v>
      </c>
      <c r="H25" s="153" t="str">
        <f t="shared" si="3"/>
        <v>0.89</v>
      </c>
      <c r="I25" s="161"/>
      <c r="J25" s="161"/>
      <c r="L25" s="120" t="s">
        <v>152</v>
      </c>
      <c r="M25" s="120">
        <v>5.5</v>
      </c>
    </row>
    <row r="26" spans="3:13">
      <c r="C26" s="153" t="str">
        <f t="shared" si="0"/>
        <v>0.97</v>
      </c>
      <c r="D26" s="153">
        <f>VALUE(VLOOKUP(D12,$L$1:$M$50,2,FALSE))</f>
        <v>0.25</v>
      </c>
      <c r="E26" s="153" t="str">
        <f t="shared" si="1"/>
        <v>0.93</v>
      </c>
      <c r="F26" s="153" t="str">
        <f t="shared" si="2"/>
        <v>0.74</v>
      </c>
      <c r="G26" s="153">
        <f>VALUE(VLOOKUP(G12,$L$1:$M$50,2,FALSE))</f>
        <v>0.25</v>
      </c>
      <c r="H26" s="153" t="str">
        <f t="shared" si="3"/>
        <v>1.19</v>
      </c>
      <c r="I26" s="161"/>
      <c r="J26" s="161"/>
      <c r="L26" s="120" t="s">
        <v>39</v>
      </c>
      <c r="M26" s="120">
        <v>-0.125</v>
      </c>
    </row>
    <row r="27" spans="3:13">
      <c r="C27" s="153" t="str">
        <f t="shared" si="0"/>
        <v>1.06</v>
      </c>
      <c r="D27" s="153">
        <f>VALUE(VLOOKUP(D13,$L$1:$M$50,2,FALSE))</f>
        <v>0.25</v>
      </c>
      <c r="E27" s="153" t="str">
        <f t="shared" si="1"/>
        <v>0.86</v>
      </c>
      <c r="F27" s="153" t="str">
        <f t="shared" si="2"/>
        <v>1.04</v>
      </c>
      <c r="G27" s="153">
        <f>VALUE(VLOOKUP(G13,$L$1:$M$50,2,FALSE))</f>
        <v>0.5</v>
      </c>
      <c r="H27" s="153" t="str">
        <f t="shared" si="3"/>
        <v>0.88</v>
      </c>
      <c r="I27" s="161"/>
      <c r="J27" s="161"/>
      <c r="L27" s="120" t="s">
        <v>153</v>
      </c>
      <c r="M27" s="120">
        <v>-0.25</v>
      </c>
    </row>
    <row r="28" spans="3:13">
      <c r="C28" s="153" t="str">
        <f t="shared" si="0"/>
        <v>1.06</v>
      </c>
      <c r="D28" s="153">
        <f>VALUE(VLOOKUP(D14,$L$1:$M$50,2,FALSE))</f>
        <v>0.25</v>
      </c>
      <c r="E28" s="153" t="str">
        <f t="shared" si="1"/>
        <v>0.86</v>
      </c>
      <c r="F28" s="153" t="str">
        <f t="shared" si="2"/>
        <v>1.01</v>
      </c>
      <c r="G28" s="153">
        <f>VALUE(VLOOKUP(G14,$L$1:$M$50,2,FALSE))</f>
        <v>0.5</v>
      </c>
      <c r="H28" s="153" t="str">
        <f t="shared" si="3"/>
        <v>0.91</v>
      </c>
      <c r="I28" s="161"/>
      <c r="J28" s="161"/>
      <c r="L28" s="120" t="s">
        <v>154</v>
      </c>
      <c r="M28" s="120">
        <v>-0.75</v>
      </c>
    </row>
    <row r="29" spans="3:13">
      <c r="C29" s="153" t="str">
        <f t="shared" si="0"/>
        <v>1.08</v>
      </c>
      <c r="D29" s="153">
        <f>VALUE(VLOOKUP(D15,$L$1:$M$50,2,FALSE))</f>
        <v>0.25</v>
      </c>
      <c r="E29" s="153" t="str">
        <f t="shared" si="1"/>
        <v>0.83</v>
      </c>
      <c r="F29" s="153" t="str">
        <f t="shared" si="2"/>
        <v>1.03</v>
      </c>
      <c r="G29" s="153">
        <f>VALUE(VLOOKUP(G15,$L$1:$M$50,2,FALSE))</f>
        <v>0.5</v>
      </c>
      <c r="H29" s="153" t="str">
        <f t="shared" si="3"/>
        <v>0.90</v>
      </c>
      <c r="I29" s="161"/>
      <c r="J29" s="161"/>
      <c r="K29" s="161"/>
      <c r="L29" s="120" t="s">
        <v>155</v>
      </c>
      <c r="M29" s="120">
        <v>-1</v>
      </c>
    </row>
    <row r="30" spans="3:13">
      <c r="C30" s="154"/>
      <c r="D30" s="154"/>
      <c r="E30" s="154"/>
      <c r="F30" s="155"/>
      <c r="G30" s="156"/>
      <c r="H30" s="156"/>
      <c r="I30" s="161"/>
      <c r="J30" s="161"/>
      <c r="K30" s="161"/>
      <c r="L30" s="120" t="s">
        <v>156</v>
      </c>
      <c r="M30" s="120">
        <v>-1.25</v>
      </c>
    </row>
    <row r="31" spans="9:13">
      <c r="I31" s="163"/>
      <c r="J31" s="163"/>
      <c r="K31" s="161"/>
      <c r="L31" s="120" t="s">
        <v>157</v>
      </c>
      <c r="M31" s="120">
        <v>-1.5</v>
      </c>
    </row>
    <row r="32" spans="9:13">
      <c r="I32" s="163"/>
      <c r="J32" s="163"/>
      <c r="K32" s="161"/>
      <c r="L32" s="120" t="s">
        <v>158</v>
      </c>
      <c r="M32" s="120">
        <v>-1.75</v>
      </c>
    </row>
    <row r="33" spans="9:13">
      <c r="I33" s="163"/>
      <c r="J33" s="163"/>
      <c r="K33" s="161"/>
      <c r="L33" s="120" t="s">
        <v>159</v>
      </c>
      <c r="M33" s="120">
        <v>-2</v>
      </c>
    </row>
    <row r="34" spans="9:13">
      <c r="I34" s="163"/>
      <c r="J34" s="163"/>
      <c r="K34" s="161"/>
      <c r="L34" s="120" t="s">
        <v>160</v>
      </c>
      <c r="M34" s="120">
        <v>-2.25</v>
      </c>
    </row>
    <row r="35" spans="9:13">
      <c r="I35" s="163"/>
      <c r="J35" s="163"/>
      <c r="K35" s="161"/>
      <c r="L35" s="120" t="s">
        <v>161</v>
      </c>
      <c r="M35" s="120">
        <v>-2.75</v>
      </c>
    </row>
    <row r="36" spans="9:13">
      <c r="I36" s="163"/>
      <c r="J36" s="163"/>
      <c r="K36" s="161"/>
      <c r="L36" s="120" t="s">
        <v>162</v>
      </c>
      <c r="M36" s="120">
        <v>-3</v>
      </c>
    </row>
    <row r="37" spans="9:13">
      <c r="I37" s="163"/>
      <c r="J37" s="163"/>
      <c r="K37" s="161"/>
      <c r="L37" s="120" t="s">
        <v>163</v>
      </c>
      <c r="M37" s="120">
        <v>-3.25</v>
      </c>
    </row>
    <row r="38" spans="9:13">
      <c r="I38" s="163"/>
      <c r="J38" s="163"/>
      <c r="K38" s="161"/>
      <c r="L38" s="120" t="s">
        <v>164</v>
      </c>
      <c r="M38" s="120">
        <v>-3.75</v>
      </c>
    </row>
    <row r="39" spans="9:13">
      <c r="I39" s="163"/>
      <c r="J39" s="163"/>
      <c r="K39" s="161"/>
      <c r="L39" s="120" t="s">
        <v>165</v>
      </c>
      <c r="M39" s="120">
        <v>-4</v>
      </c>
    </row>
    <row r="40" spans="9:13">
      <c r="I40" s="163"/>
      <c r="J40" s="163"/>
      <c r="K40" s="161"/>
      <c r="L40" s="120" t="s">
        <v>166</v>
      </c>
      <c r="M40" s="120">
        <v>-4.25</v>
      </c>
    </row>
    <row r="41" spans="9:13">
      <c r="I41" s="163"/>
      <c r="J41" s="163"/>
      <c r="K41" s="161"/>
      <c r="L41" s="120" t="s">
        <v>167</v>
      </c>
      <c r="M41" s="120">
        <v>-4.75</v>
      </c>
    </row>
    <row r="42" spans="12:13">
      <c r="L42" s="120" t="s">
        <v>168</v>
      </c>
      <c r="M42" s="120">
        <v>-5</v>
      </c>
    </row>
    <row r="43" spans="3:13">
      <c r="C43" s="157"/>
      <c r="D43" s="158"/>
      <c r="E43" s="158"/>
      <c r="F43" s="4"/>
      <c r="G43" s="159"/>
      <c r="H43" s="159"/>
      <c r="L43" s="120" t="s">
        <v>169</v>
      </c>
      <c r="M43" s="120">
        <v>-5.25</v>
      </c>
    </row>
    <row r="44" spans="3:13">
      <c r="C44" s="157"/>
      <c r="D44" s="158"/>
      <c r="E44" s="158"/>
      <c r="F44" s="4"/>
      <c r="G44" s="159"/>
      <c r="H44" s="159"/>
      <c r="L44" s="120" t="s">
        <v>170</v>
      </c>
      <c r="M44" s="120">
        <v>-5.75</v>
      </c>
    </row>
    <row r="45" spans="3:13">
      <c r="C45" s="157"/>
      <c r="D45" s="158"/>
      <c r="E45" s="158"/>
      <c r="F45" s="4"/>
      <c r="G45" s="159"/>
      <c r="H45" s="159"/>
      <c r="L45" s="120" t="s">
        <v>171</v>
      </c>
      <c r="M45" s="120">
        <v>-6</v>
      </c>
    </row>
    <row r="46" spans="3:13">
      <c r="C46" s="157"/>
      <c r="D46" s="158"/>
      <c r="E46" s="158"/>
      <c r="F46" s="4"/>
      <c r="G46" s="159"/>
      <c r="H46" s="159"/>
      <c r="L46" s="120" t="s">
        <v>172</v>
      </c>
      <c r="M46" s="120">
        <v>-0.5</v>
      </c>
    </row>
    <row r="47" spans="3:13">
      <c r="C47" s="157"/>
      <c r="D47" s="158"/>
      <c r="E47" s="158"/>
      <c r="F47" s="4"/>
      <c r="G47" s="159"/>
      <c r="H47" s="159"/>
      <c r="L47" s="120" t="s">
        <v>173</v>
      </c>
      <c r="M47" s="120">
        <v>-2.5</v>
      </c>
    </row>
    <row r="48" spans="3:13">
      <c r="C48" s="157"/>
      <c r="D48" s="158"/>
      <c r="E48" s="158"/>
      <c r="F48" s="4"/>
      <c r="G48" s="159"/>
      <c r="H48" s="159"/>
      <c r="L48" s="120" t="s">
        <v>174</v>
      </c>
      <c r="M48" s="120">
        <v>-3.5</v>
      </c>
    </row>
    <row r="49" spans="3:13">
      <c r="C49" s="157"/>
      <c r="D49" s="158"/>
      <c r="E49" s="158"/>
      <c r="F49" s="4"/>
      <c r="G49" s="159"/>
      <c r="H49" s="159"/>
      <c r="L49" s="120" t="s">
        <v>175</v>
      </c>
      <c r="M49" s="120">
        <v>-4.5</v>
      </c>
    </row>
    <row r="50" spans="3:13">
      <c r="C50" s="157"/>
      <c r="D50" s="158"/>
      <c r="E50" s="158"/>
      <c r="F50" s="4"/>
      <c r="G50" s="159"/>
      <c r="H50" s="159"/>
      <c r="L50" s="120" t="s">
        <v>176</v>
      </c>
      <c r="M50" s="120">
        <v>-5.5</v>
      </c>
    </row>
    <row r="51" spans="3:8">
      <c r="C51" s="157"/>
      <c r="D51" s="158"/>
      <c r="E51" s="158"/>
      <c r="F51" s="4"/>
      <c r="G51" s="159"/>
      <c r="H51" s="159"/>
    </row>
    <row r="52" spans="3:8">
      <c r="C52" s="157"/>
      <c r="D52" s="158"/>
      <c r="E52" s="158"/>
      <c r="F52" s="4"/>
      <c r="G52" s="159"/>
      <c r="H52" s="159"/>
    </row>
    <row r="53" spans="3:8">
      <c r="C53" s="157"/>
      <c r="D53" s="158"/>
      <c r="E53" s="158"/>
      <c r="F53" s="4"/>
      <c r="G53" s="159"/>
      <c r="H53" s="159"/>
    </row>
    <row r="54" spans="3:8">
      <c r="C54" s="157"/>
      <c r="D54" s="158"/>
      <c r="E54" s="158"/>
      <c r="F54" s="4"/>
      <c r="G54" s="159"/>
      <c r="H54" s="159"/>
    </row>
    <row r="55" spans="3:8">
      <c r="C55" s="157"/>
      <c r="E55" s="158"/>
      <c r="G55" s="160"/>
      <c r="H55" s="160"/>
    </row>
    <row r="56" spans="3:3">
      <c r="C56" s="157"/>
    </row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O352"/>
  <sheetViews>
    <sheetView workbookViewId="0">
      <selection activeCell="B5" sqref="B5"/>
    </sheetView>
  </sheetViews>
  <sheetFormatPr defaultColWidth="9" defaultRowHeight="13.5"/>
  <cols>
    <col min="1" max="1" width="9" style="148"/>
    <col min="2" max="2" width="20.625" style="148" customWidth="1"/>
    <col min="3" max="3" width="11.5" style="148" customWidth="1"/>
    <col min="4" max="6" width="9" style="148"/>
    <col min="7" max="7" width="10.125" style="148" customWidth="1"/>
    <col min="8" max="8" width="11" style="148" customWidth="1"/>
    <col min="9" max="16384" width="9" style="148"/>
  </cols>
  <sheetData>
    <row r="1" ht="15" customHeight="1" spans="1:15">
      <c r="A1" t="s">
        <v>177</v>
      </c>
      <c r="B1" t="s">
        <v>177</v>
      </c>
      <c r="C1" t="s">
        <v>111</v>
      </c>
      <c r="D1"/>
      <c r="E1"/>
      <c r="F1" t="s">
        <v>178</v>
      </c>
      <c r="G1"/>
      <c r="H1"/>
      <c r="I1" t="s">
        <v>179</v>
      </c>
      <c r="J1"/>
      <c r="K1"/>
      <c r="L1" t="s">
        <v>180</v>
      </c>
      <c r="M1"/>
      <c r="N1"/>
      <c r="O1" t="s">
        <v>181</v>
      </c>
    </row>
    <row r="2" ht="14.25" customHeight="1" spans="1:15">
      <c r="A2" t="s">
        <v>182</v>
      </c>
      <c r="B2" t="s">
        <v>109</v>
      </c>
      <c r="C2" t="s">
        <v>25</v>
      </c>
      <c r="D2" t="s">
        <v>183</v>
      </c>
      <c r="E2" t="s">
        <v>27</v>
      </c>
      <c r="F2" t="s">
        <v>25</v>
      </c>
      <c r="G2" t="s">
        <v>183</v>
      </c>
      <c r="H2" t="s">
        <v>27</v>
      </c>
      <c r="I2" t="s">
        <v>25</v>
      </c>
      <c r="J2" t="s">
        <v>183</v>
      </c>
      <c r="K2" t="s">
        <v>27</v>
      </c>
      <c r="L2" t="s">
        <v>25</v>
      </c>
      <c r="M2" t="s">
        <v>183</v>
      </c>
      <c r="N2" t="s">
        <v>27</v>
      </c>
      <c r="O2" t="s">
        <v>184</v>
      </c>
    </row>
    <row r="3" customHeight="1" spans="2:15">
      <c r="B3" s="148" t="s">
        <v>185</v>
      </c>
      <c r="C3" s="118">
        <v>2.41000008583069</v>
      </c>
      <c r="D3" s="118">
        <v>3.29999995231628</v>
      </c>
      <c r="E3" s="118">
        <v>3.25</v>
      </c>
      <c r="F3" s="118">
        <v>2.04999995231628</v>
      </c>
      <c r="G3" s="118">
        <v>3.59999990463257</v>
      </c>
      <c r="H3" s="118">
        <v>4</v>
      </c>
      <c r="I3" s="118"/>
      <c r="J3" s="118"/>
      <c r="K3" s="118"/>
      <c r="L3" s="118"/>
      <c r="M3" s="118"/>
      <c r="N3" s="118" t="e">
        <v>#N/A</v>
      </c>
      <c r="O3" s="118" t="e">
        <v>#N/A</v>
      </c>
    </row>
    <row r="4" customHeight="1" spans="2:15">
      <c r="B4" s="148" t="s">
        <v>186</v>
      </c>
      <c r="C4" s="118">
        <v>2.20000004768372</v>
      </c>
      <c r="D4" s="118">
        <v>3.04999995231628</v>
      </c>
      <c r="E4" s="118">
        <v>2.90000009536743</v>
      </c>
      <c r="F4" s="118">
        <v>1.89999997615814</v>
      </c>
      <c r="G4" s="118">
        <v>3.09999990463257</v>
      </c>
      <c r="H4" s="118">
        <v>3.09999990463257</v>
      </c>
      <c r="I4" s="118"/>
      <c r="J4" s="118"/>
      <c r="K4" s="118"/>
      <c r="L4" s="118"/>
      <c r="M4" s="118"/>
      <c r="N4" s="118" t="e">
        <v>#N/A</v>
      </c>
      <c r="O4" s="118" t="e">
        <v>#N/A</v>
      </c>
    </row>
    <row r="5" customHeight="1" spans="2:15">
      <c r="B5" s="148" t="s">
        <v>187</v>
      </c>
      <c r="C5" s="118">
        <v>2.33461546897888</v>
      </c>
      <c r="D5" s="118">
        <v>3.16923093795776</v>
      </c>
      <c r="E5" s="118">
        <v>3.02076935768127</v>
      </c>
      <c r="F5" s="118">
        <v>1.99000000953674</v>
      </c>
      <c r="G5" s="118">
        <v>3.42692279815674</v>
      </c>
      <c r="H5" s="118">
        <v>3.61538434028625</v>
      </c>
      <c r="I5" s="118"/>
      <c r="J5" s="118"/>
      <c r="K5" s="118"/>
      <c r="L5" s="118"/>
      <c r="M5" s="118"/>
      <c r="N5" s="118" t="e">
        <v>#N/A</v>
      </c>
      <c r="O5" s="118" t="e">
        <v>#N/A</v>
      </c>
    </row>
    <row r="6" customHeight="1" spans="1:15">
      <c r="A6" s="148">
        <v>0</v>
      </c>
      <c r="B6" s="118" t="s">
        <v>188</v>
      </c>
      <c r="C6" s="118">
        <v>2.29999995231628</v>
      </c>
      <c r="D6" s="118">
        <v>3.09999990463257</v>
      </c>
      <c r="E6" s="118">
        <v>3.25</v>
      </c>
      <c r="F6" s="118">
        <v>1.89999997615814</v>
      </c>
      <c r="G6" s="118">
        <v>3.40000009536743</v>
      </c>
      <c r="H6" s="118">
        <v>4</v>
      </c>
      <c r="I6" s="118"/>
      <c r="J6" s="118"/>
      <c r="K6" s="118"/>
      <c r="L6" s="118"/>
      <c r="M6" s="118"/>
      <c r="N6" s="118" t="e">
        <v>#N/A</v>
      </c>
      <c r="O6" s="118" t="e">
        <v>#N/A</v>
      </c>
    </row>
    <row r="7" customHeight="1" spans="1:15">
      <c r="A7" s="148">
        <v>1</v>
      </c>
      <c r="B7" s="118" t="s">
        <v>189</v>
      </c>
      <c r="C7" s="118">
        <v>2.25</v>
      </c>
      <c r="D7" s="118">
        <v>3.09999990463257</v>
      </c>
      <c r="E7" s="118">
        <v>3</v>
      </c>
      <c r="F7" s="118">
        <v>2.04999995231628</v>
      </c>
      <c r="G7" s="118">
        <v>3.09999990463257</v>
      </c>
      <c r="H7" s="118">
        <v>3.40000009536743</v>
      </c>
      <c r="I7" s="118"/>
      <c r="J7" s="118"/>
      <c r="K7" s="118"/>
      <c r="L7" s="118"/>
      <c r="M7" s="118"/>
      <c r="N7" s="118" t="e">
        <v>#N/A</v>
      </c>
      <c r="O7" s="118" t="e">
        <v>#N/A</v>
      </c>
    </row>
    <row r="8" customHeight="1" spans="1:15">
      <c r="A8" s="148">
        <v>2</v>
      </c>
      <c r="B8" s="118" t="s">
        <v>190</v>
      </c>
      <c r="C8" s="118">
        <v>2.38000011444092</v>
      </c>
      <c r="D8" s="118">
        <v>3.29999995231628</v>
      </c>
      <c r="E8" s="118">
        <v>3</v>
      </c>
      <c r="F8" s="118">
        <v>1.95000004768372</v>
      </c>
      <c r="G8" s="118">
        <v>3.5</v>
      </c>
      <c r="H8" s="118">
        <v>3.79999995231628</v>
      </c>
      <c r="I8" s="118"/>
      <c r="J8" s="118"/>
      <c r="K8" s="118"/>
      <c r="L8" s="118"/>
      <c r="M8" s="118"/>
      <c r="N8" s="118" t="e">
        <v>#N/A</v>
      </c>
      <c r="O8" s="118" t="e">
        <v>#N/A</v>
      </c>
    </row>
    <row r="9" customHeight="1" spans="1:15">
      <c r="A9" s="148">
        <v>3</v>
      </c>
      <c r="B9" s="118" t="s">
        <v>191</v>
      </c>
      <c r="C9" s="118">
        <v>2.35999989509583</v>
      </c>
      <c r="D9" s="118">
        <v>3.20000004768372</v>
      </c>
      <c r="E9" s="118">
        <v>2.91000008583069</v>
      </c>
      <c r="F9" s="118">
        <v>1.98000001907349</v>
      </c>
      <c r="G9" s="118">
        <v>3.40000009536743</v>
      </c>
      <c r="H9" s="118">
        <v>3.59999990463257</v>
      </c>
      <c r="I9" s="118"/>
      <c r="J9" s="118"/>
      <c r="K9" s="118"/>
      <c r="L9" s="118"/>
      <c r="M9" s="118"/>
      <c r="N9" s="118" t="e">
        <v>#N/A</v>
      </c>
      <c r="O9" s="118" t="e">
        <v>#N/A</v>
      </c>
    </row>
    <row r="10" customHeight="1" spans="1:15">
      <c r="A10" s="148">
        <v>4</v>
      </c>
      <c r="B10" s="118" t="s">
        <v>192</v>
      </c>
      <c r="C10" s="118">
        <v>2.29999995231628</v>
      </c>
      <c r="D10" s="118">
        <v>3.25</v>
      </c>
      <c r="E10" s="118">
        <v>3</v>
      </c>
      <c r="F10" s="118">
        <v>1.89999997615814</v>
      </c>
      <c r="G10" s="118">
        <v>3.34999990463257</v>
      </c>
      <c r="H10" s="118">
        <v>3.95000004768372</v>
      </c>
      <c r="I10" s="118"/>
      <c r="J10" s="118"/>
      <c r="K10" s="118"/>
      <c r="L10" s="118"/>
      <c r="M10" s="118"/>
      <c r="N10" s="118" t="e">
        <v>#N/A</v>
      </c>
      <c r="O10" s="118" t="e">
        <v>#N/A</v>
      </c>
    </row>
    <row r="11" customHeight="1" spans="1:15">
      <c r="A11" s="148">
        <v>5</v>
      </c>
      <c r="B11" s="118" t="s">
        <v>193</v>
      </c>
      <c r="C11" s="118">
        <v>2.41000008583069</v>
      </c>
      <c r="D11" s="118">
        <v>3.20000004768372</v>
      </c>
      <c r="E11" s="118">
        <v>3.09999990463257</v>
      </c>
      <c r="F11" s="118">
        <v>2.04999995231628</v>
      </c>
      <c r="G11" s="118">
        <v>3.59999990463257</v>
      </c>
      <c r="H11" s="118">
        <v>3.65000009536743</v>
      </c>
      <c r="I11" s="118"/>
      <c r="J11" s="118"/>
      <c r="K11" s="118"/>
      <c r="L11" s="118"/>
      <c r="M11" s="118"/>
      <c r="N11" s="118" t="e">
        <v>#N/A</v>
      </c>
      <c r="O11" s="118" t="e">
        <v>#N/A</v>
      </c>
    </row>
    <row r="12" customHeight="1" spans="1:15">
      <c r="A12" s="148">
        <v>6</v>
      </c>
      <c r="B12" s="118" t="s">
        <v>194</v>
      </c>
      <c r="C12" s="118">
        <v>2.35999989509583</v>
      </c>
      <c r="D12" s="118">
        <v>3.20000004768372</v>
      </c>
      <c r="E12" s="118">
        <v>2.91000008583069</v>
      </c>
      <c r="F12" s="118">
        <v>2.01999998092651</v>
      </c>
      <c r="G12" s="118">
        <v>3.34999990463257</v>
      </c>
      <c r="H12" s="118">
        <v>3.54999995231628</v>
      </c>
      <c r="I12" s="118"/>
      <c r="J12" s="118"/>
      <c r="K12" s="118"/>
      <c r="L12" s="118"/>
      <c r="M12" s="118"/>
      <c r="N12" s="118" t="e">
        <v>#N/A</v>
      </c>
      <c r="O12" s="118" t="e">
        <v>#N/A</v>
      </c>
    </row>
    <row r="13" customHeight="1" spans="1:15">
      <c r="A13" s="148">
        <v>7</v>
      </c>
      <c r="B13" s="118" t="s">
        <v>195</v>
      </c>
      <c r="C13" s="118">
        <v>2.39000010490417</v>
      </c>
      <c r="D13" s="118">
        <v>3.04999995231628</v>
      </c>
      <c r="E13" s="118">
        <v>2.99000000953674</v>
      </c>
      <c r="F13" s="118">
        <v>2.00999999046326</v>
      </c>
      <c r="G13" s="118">
        <v>3.40000009536743</v>
      </c>
      <c r="H13" s="118">
        <v>3.45000004768372</v>
      </c>
      <c r="I13" s="118"/>
      <c r="J13" s="118"/>
      <c r="K13" s="118"/>
      <c r="L13" s="118"/>
      <c r="M13" s="118"/>
      <c r="N13" s="118" t="e">
        <v>#N/A</v>
      </c>
      <c r="O13" s="118" t="e">
        <v>#N/A</v>
      </c>
    </row>
    <row r="14" customHeight="1" spans="1:15">
      <c r="A14" s="148">
        <v>8</v>
      </c>
      <c r="B14" s="118" t="s">
        <v>196</v>
      </c>
      <c r="C14" s="118">
        <v>2.41000008583069</v>
      </c>
      <c r="D14" s="118">
        <v>3.20000004768372</v>
      </c>
      <c r="E14" s="118">
        <v>3.09999990463257</v>
      </c>
      <c r="F14" s="118">
        <v>2.00999999046326</v>
      </c>
      <c r="G14" s="118">
        <v>3.59999990463257</v>
      </c>
      <c r="H14" s="118">
        <v>3.79999995231628</v>
      </c>
      <c r="I14" s="118"/>
      <c r="J14" s="118"/>
      <c r="K14" s="118"/>
      <c r="L14" s="118"/>
      <c r="M14" s="118"/>
      <c r="N14" s="118" t="e">
        <v>#N/A</v>
      </c>
      <c r="O14" s="118" t="e">
        <v>#N/A</v>
      </c>
    </row>
    <row r="15" customHeight="1" spans="1:15">
      <c r="A15" s="148">
        <v>9</v>
      </c>
      <c r="B15" s="118" t="s">
        <v>197</v>
      </c>
      <c r="C15" s="118">
        <v>2.34999990463257</v>
      </c>
      <c r="D15" s="118">
        <v>3.15000009536743</v>
      </c>
      <c r="E15" s="118">
        <v>3.09999990463257</v>
      </c>
      <c r="F15" s="118">
        <v>2</v>
      </c>
      <c r="G15" s="118">
        <v>3.59999990463257</v>
      </c>
      <c r="H15" s="118">
        <v>3.79999995231628</v>
      </c>
      <c r="I15" s="118"/>
      <c r="J15" s="118"/>
      <c r="K15" s="118"/>
      <c r="L15" s="118"/>
      <c r="M15" s="118"/>
      <c r="N15" s="118" t="e">
        <v>#N/A</v>
      </c>
      <c r="O15" s="118" t="e">
        <v>#N/A</v>
      </c>
    </row>
    <row r="16" customHeight="1" spans="1:15">
      <c r="A16" s="148">
        <v>10</v>
      </c>
      <c r="B16" s="118" t="s">
        <v>120</v>
      </c>
      <c r="C16" s="118">
        <v>2.20000004768372</v>
      </c>
      <c r="D16" s="118">
        <v>3.04999995231628</v>
      </c>
      <c r="E16" s="118">
        <v>3.09999990463257</v>
      </c>
      <c r="F16" s="118">
        <v>1.98000001907349</v>
      </c>
      <c r="G16" s="118">
        <v>3.29999995231628</v>
      </c>
      <c r="H16" s="118">
        <v>3.34999990463257</v>
      </c>
      <c r="I16" s="118"/>
      <c r="J16" s="118"/>
      <c r="K16" s="118"/>
      <c r="L16" s="118"/>
      <c r="M16" s="118"/>
      <c r="N16" s="118" t="e">
        <v>#N/A</v>
      </c>
      <c r="O16" s="118" t="e">
        <v>#N/A</v>
      </c>
    </row>
    <row r="17" customHeight="1" spans="1:15">
      <c r="A17" s="148">
        <v>11</v>
      </c>
      <c r="B17" s="118" t="s">
        <v>198</v>
      </c>
      <c r="C17" s="118">
        <v>2.27999997138977</v>
      </c>
      <c r="D17" s="118">
        <v>3.20000004768372</v>
      </c>
      <c r="E17" s="118">
        <v>2.90000009536743</v>
      </c>
      <c r="F17" s="118">
        <v>2</v>
      </c>
      <c r="G17" s="118">
        <v>3.59999990463257</v>
      </c>
      <c r="H17" s="118">
        <v>3.09999990463257</v>
      </c>
      <c r="I17" s="118"/>
      <c r="J17" s="118"/>
      <c r="K17" s="118"/>
      <c r="L17" s="118"/>
      <c r="M17" s="118"/>
      <c r="N17" s="118" t="e">
        <v>#N/A</v>
      </c>
      <c r="O17" s="118" t="e">
        <v>#N/A</v>
      </c>
    </row>
    <row r="18" customHeight="1" spans="1:15">
      <c r="A18" s="148">
        <v>12</v>
      </c>
      <c r="B18" s="118" t="s">
        <v>194</v>
      </c>
      <c r="C18" s="118">
        <v>2.35999989509583</v>
      </c>
      <c r="D18" s="118">
        <v>3.20000004768372</v>
      </c>
      <c r="E18" s="118">
        <v>2.91000008583069</v>
      </c>
      <c r="F18" s="118">
        <v>2.01999998092651</v>
      </c>
      <c r="G18" s="118">
        <v>3.34999990463257</v>
      </c>
      <c r="H18" s="118">
        <v>3.54999995231628</v>
      </c>
      <c r="I18" s="118"/>
      <c r="J18" s="118"/>
      <c r="K18" s="118"/>
      <c r="L18" s="118"/>
      <c r="M18" s="118"/>
      <c r="N18" s="118" t="e">
        <v>#N/A</v>
      </c>
      <c r="O18" s="118" t="e">
        <v>#N/A</v>
      </c>
    </row>
    <row r="19" customHeight="1" spans="2:1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 t="e">
        <v>#N/A</v>
      </c>
      <c r="O19" s="118" t="e">
        <v>#N/A</v>
      </c>
    </row>
    <row r="20" customHeight="1" spans="2:15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 t="e">
        <v>#N/A</v>
      </c>
      <c r="O20" s="118" t="e">
        <v>#N/A</v>
      </c>
    </row>
    <row r="21" customHeight="1" spans="2:15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 t="e">
        <v>#N/A</v>
      </c>
      <c r="O21" s="118" t="e">
        <v>#N/A</v>
      </c>
    </row>
    <row r="22" customHeight="1" spans="2:15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 t="e">
        <v>#N/A</v>
      </c>
      <c r="O22" s="118" t="e">
        <v>#N/A</v>
      </c>
    </row>
    <row r="23" customHeight="1" spans="2:1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 t="e">
        <v>#N/A</v>
      </c>
      <c r="O23" s="118" t="e">
        <v>#N/A</v>
      </c>
    </row>
    <row r="24" customHeight="1" spans="2:1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 t="e">
        <v>#N/A</v>
      </c>
      <c r="O24" s="118" t="e">
        <v>#N/A</v>
      </c>
    </row>
    <row r="25" customHeight="1" spans="2:15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 t="e">
        <v>#N/A</v>
      </c>
      <c r="O25" s="118" t="e">
        <v>#N/A</v>
      </c>
    </row>
    <row r="26" customHeight="1" spans="2:1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 t="e">
        <v>#N/A</v>
      </c>
      <c r="O26" s="118" t="e">
        <v>#N/A</v>
      </c>
    </row>
    <row r="27" customHeight="1" spans="2:15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 t="e">
        <v>#N/A</v>
      </c>
      <c r="O27" s="118" t="e">
        <v>#N/A</v>
      </c>
    </row>
    <row r="28" customHeight="1" spans="2:15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 t="e">
        <v>#N/A</v>
      </c>
      <c r="O28" s="118" t="e">
        <v>#N/A</v>
      </c>
    </row>
    <row r="29" customHeight="1" spans="2:1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 t="e">
        <v>#N/A</v>
      </c>
      <c r="O29" s="118" t="e">
        <v>#N/A</v>
      </c>
    </row>
    <row r="30" customHeight="1" spans="2:1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 t="e">
        <v>#N/A</v>
      </c>
      <c r="O30" s="118" t="e">
        <v>#N/A</v>
      </c>
    </row>
    <row r="31" customHeight="1" spans="2:1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 t="e">
        <v>#N/A</v>
      </c>
      <c r="O31" s="118" t="e">
        <v>#N/A</v>
      </c>
    </row>
    <row r="32" customHeight="1" spans="2:1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 t="e">
        <v>#N/A</v>
      </c>
      <c r="O32" s="118" t="e">
        <v>#N/A</v>
      </c>
    </row>
    <row r="33" customHeight="1" spans="2:1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 t="e">
        <v>#N/A</v>
      </c>
      <c r="O33" s="118" t="e">
        <v>#N/A</v>
      </c>
    </row>
    <row r="34" customHeight="1" spans="2:1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 t="e">
        <v>#N/A</v>
      </c>
      <c r="O34" s="118" t="e">
        <v>#N/A</v>
      </c>
    </row>
    <row r="35" customHeight="1" spans="2:1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 t="e">
        <v>#N/A</v>
      </c>
      <c r="O35" s="118" t="e">
        <v>#N/A</v>
      </c>
    </row>
    <row r="36" customHeight="1" spans="2:1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 t="e">
        <v>#N/A</v>
      </c>
      <c r="O36" s="118" t="e">
        <v>#N/A</v>
      </c>
    </row>
    <row r="37" customHeight="1" spans="2:1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 t="e">
        <v>#N/A</v>
      </c>
      <c r="O37" s="118" t="e">
        <v>#N/A</v>
      </c>
    </row>
    <row r="38" customHeight="1" spans="2:1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 t="e">
        <v>#N/A</v>
      </c>
      <c r="O38" s="118" t="e">
        <v>#N/A</v>
      </c>
    </row>
    <row r="39" customHeight="1" spans="2:1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 t="e">
        <v>#N/A</v>
      </c>
      <c r="O39" s="118" t="e">
        <v>#N/A</v>
      </c>
    </row>
    <row r="40" customHeight="1" spans="2:1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 t="e">
        <v>#N/A</v>
      </c>
      <c r="O40" s="118" t="e">
        <v>#N/A</v>
      </c>
    </row>
    <row r="41" customHeight="1" spans="2:15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 t="e">
        <v>#N/A</v>
      </c>
      <c r="O41" s="118" t="e">
        <v>#N/A</v>
      </c>
    </row>
    <row r="42" customHeight="1" spans="2:15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 t="e">
        <v>#N/A</v>
      </c>
      <c r="O42" s="118" t="e">
        <v>#N/A</v>
      </c>
    </row>
    <row r="43" customHeight="1" spans="2:15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 t="e">
        <v>#N/A</v>
      </c>
      <c r="O43" s="118" t="e">
        <v>#N/A</v>
      </c>
    </row>
    <row r="44" customHeight="1" spans="2:15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 t="e">
        <v>#N/A</v>
      </c>
      <c r="O44" s="118" t="e">
        <v>#N/A</v>
      </c>
    </row>
    <row r="45" customHeight="1" spans="2:15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 t="e">
        <v>#N/A</v>
      </c>
      <c r="O45" s="118" t="e">
        <v>#N/A</v>
      </c>
    </row>
    <row r="46" customHeight="1" spans="2:15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 t="e">
        <v>#N/A</v>
      </c>
      <c r="O46" s="118" t="e">
        <v>#N/A</v>
      </c>
    </row>
    <row r="47" customHeight="1" spans="2:15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 t="e">
        <v>#N/A</v>
      </c>
      <c r="O47" s="118" t="e">
        <v>#N/A</v>
      </c>
    </row>
    <row r="48" customHeight="1" spans="2:15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 t="e">
        <v>#N/A</v>
      </c>
      <c r="O48" s="118" t="e">
        <v>#N/A</v>
      </c>
    </row>
    <row r="49" customHeight="1" spans="2:15"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 t="e">
        <v>#N/A</v>
      </c>
      <c r="O49" s="118" t="e">
        <v>#N/A</v>
      </c>
    </row>
    <row r="50" customHeight="1" spans="2:15"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 t="e">
        <v>#N/A</v>
      </c>
      <c r="O50" s="118" t="e">
        <v>#N/A</v>
      </c>
    </row>
    <row r="51" customHeight="1" spans="2:15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 t="e">
        <v>#N/A</v>
      </c>
      <c r="O51" s="118" t="e">
        <v>#N/A</v>
      </c>
    </row>
    <row r="52" customHeight="1" spans="2:15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 t="e">
        <v>#N/A</v>
      </c>
      <c r="O52" s="118" t="e">
        <v>#N/A</v>
      </c>
    </row>
    <row r="53" customHeight="1" spans="2:15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 t="e">
        <v>#N/A</v>
      </c>
      <c r="O53" s="118" t="e">
        <v>#N/A</v>
      </c>
    </row>
    <row r="54" customHeight="1" spans="2:15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 t="e">
        <v>#N/A</v>
      </c>
      <c r="O54" s="118" t="e">
        <v>#N/A</v>
      </c>
    </row>
    <row r="55" customHeight="1" spans="2:15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 t="e">
        <v>#N/A</v>
      </c>
      <c r="O55" s="118" t="e">
        <v>#N/A</v>
      </c>
    </row>
    <row r="56" customHeight="1" spans="2:15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 t="e">
        <v>#N/A</v>
      </c>
      <c r="O56" s="118" t="e">
        <v>#N/A</v>
      </c>
    </row>
    <row r="57" customHeight="1" spans="2:15"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 t="e">
        <v>#N/A</v>
      </c>
      <c r="O57" s="118" t="e">
        <v>#N/A</v>
      </c>
    </row>
    <row r="58" customHeight="1" spans="2:15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 t="e">
        <v>#N/A</v>
      </c>
      <c r="O58" s="118" t="e">
        <v>#N/A</v>
      </c>
    </row>
    <row r="59" customHeight="1" spans="2:15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 t="e">
        <v>#N/A</v>
      </c>
      <c r="O59" s="118" t="e">
        <v>#N/A</v>
      </c>
    </row>
    <row r="60" customHeight="1" spans="2:15"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 t="e">
        <v>#N/A</v>
      </c>
      <c r="O60" s="118" t="e">
        <v>#N/A</v>
      </c>
    </row>
    <row r="61" customHeight="1" spans="2:15"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 t="e">
        <v>#N/A</v>
      </c>
      <c r="O61" s="118" t="e">
        <v>#N/A</v>
      </c>
    </row>
    <row r="62" customHeight="1" spans="2:15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 t="e">
        <v>#N/A</v>
      </c>
      <c r="O62" s="118" t="e">
        <v>#N/A</v>
      </c>
    </row>
    <row r="63" customHeight="1" spans="2:15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 t="e">
        <v>#N/A</v>
      </c>
      <c r="O63" s="118" t="e">
        <v>#N/A</v>
      </c>
    </row>
    <row r="64" customHeight="1" spans="2:15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 t="e">
        <v>#N/A</v>
      </c>
      <c r="O64" s="118" t="e">
        <v>#N/A</v>
      </c>
    </row>
    <row r="65" customHeight="1" spans="2:15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 t="e">
        <v>#N/A</v>
      </c>
      <c r="O65" s="118" t="e">
        <v>#N/A</v>
      </c>
    </row>
    <row r="66" customHeight="1" spans="2:15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 t="e">
        <v>#N/A</v>
      </c>
      <c r="O66" s="118" t="e">
        <v>#N/A</v>
      </c>
    </row>
    <row r="67" customHeight="1" spans="2:15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 t="e">
        <v>#N/A</v>
      </c>
      <c r="O67" s="118" t="e">
        <v>#N/A</v>
      </c>
    </row>
    <row r="68" customHeight="1" spans="2:15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 t="e">
        <v>#N/A</v>
      </c>
      <c r="O68" s="118" t="e">
        <v>#N/A</v>
      </c>
    </row>
    <row r="69" customHeight="1" spans="2:15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 t="e">
        <v>#N/A</v>
      </c>
      <c r="O69" s="118" t="e">
        <v>#N/A</v>
      </c>
    </row>
    <row r="70" customHeight="1" spans="2:15"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 t="e">
        <v>#N/A</v>
      </c>
      <c r="O70" s="118" t="e">
        <v>#N/A</v>
      </c>
    </row>
    <row r="71" customHeight="1" spans="2:15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 t="e">
        <v>#N/A</v>
      </c>
      <c r="O71" s="118" t="e">
        <v>#N/A</v>
      </c>
    </row>
    <row r="72" customHeight="1" spans="2:15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 t="e">
        <v>#N/A</v>
      </c>
      <c r="O72" s="118" t="e">
        <v>#N/A</v>
      </c>
    </row>
    <row r="73" customHeight="1" spans="2:15"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 t="e">
        <v>#N/A</v>
      </c>
      <c r="O73" s="118" t="e">
        <v>#N/A</v>
      </c>
    </row>
    <row r="74" customHeight="1" spans="2:15"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 t="e">
        <v>#N/A</v>
      </c>
      <c r="O74" s="118" t="e">
        <v>#N/A</v>
      </c>
    </row>
    <row r="75" customHeight="1" spans="2:15"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 t="e">
        <v>#N/A</v>
      </c>
      <c r="O75" s="118" t="e">
        <v>#N/A</v>
      </c>
    </row>
    <row r="76" customHeight="1" spans="2:15"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 t="e">
        <v>#N/A</v>
      </c>
      <c r="O76" s="118" t="e">
        <v>#N/A</v>
      </c>
    </row>
    <row r="77" customHeight="1" spans="2:15"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 t="e">
        <v>#N/A</v>
      </c>
      <c r="O77" s="118" t="e">
        <v>#N/A</v>
      </c>
    </row>
    <row r="78" customHeight="1" spans="2:15"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 t="e">
        <v>#N/A</v>
      </c>
      <c r="O78" s="118" t="e">
        <v>#N/A</v>
      </c>
    </row>
    <row r="79" customHeight="1" spans="2:15"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 t="e">
        <v>#N/A</v>
      </c>
      <c r="O79" s="118" t="e">
        <v>#N/A</v>
      </c>
    </row>
    <row r="80" customHeight="1" spans="2:15"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 t="e">
        <v>#N/A</v>
      </c>
      <c r="O80" s="118" t="e">
        <v>#N/A</v>
      </c>
    </row>
    <row r="81" customHeight="1" spans="2:15"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 t="e">
        <v>#N/A</v>
      </c>
      <c r="O81" s="118" t="e">
        <v>#N/A</v>
      </c>
    </row>
    <row r="82" customHeight="1" spans="2:15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 t="e">
        <v>#N/A</v>
      </c>
      <c r="O82" s="118" t="e">
        <v>#N/A</v>
      </c>
    </row>
    <row r="83" customHeight="1" spans="2:15"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 t="e">
        <v>#N/A</v>
      </c>
      <c r="O83" s="118" t="e">
        <v>#N/A</v>
      </c>
    </row>
    <row r="84" customHeight="1" spans="2:15"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 t="e">
        <v>#N/A</v>
      </c>
      <c r="O84" s="118" t="e">
        <v>#N/A</v>
      </c>
    </row>
    <row r="85" customHeight="1" spans="2:15"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 t="e">
        <v>#N/A</v>
      </c>
      <c r="O85" s="118" t="e">
        <v>#N/A</v>
      </c>
    </row>
    <row r="86" customHeight="1" spans="2:15"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 t="e">
        <v>#N/A</v>
      </c>
      <c r="O86" s="118" t="e">
        <v>#N/A</v>
      </c>
    </row>
    <row r="87" customHeight="1" spans="2:15"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 t="e">
        <v>#N/A</v>
      </c>
      <c r="O87" s="118" t="e">
        <v>#N/A</v>
      </c>
    </row>
    <row r="88" customHeight="1" spans="2:15"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 t="e">
        <v>#N/A</v>
      </c>
      <c r="O88" s="118" t="e">
        <v>#N/A</v>
      </c>
    </row>
    <row r="89" customHeight="1" spans="2:15"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 t="e">
        <v>#N/A</v>
      </c>
      <c r="O89" s="118" t="e">
        <v>#N/A</v>
      </c>
    </row>
    <row r="90" customHeight="1" spans="2:15"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 t="e">
        <v>#N/A</v>
      </c>
      <c r="O90" s="118" t="e">
        <v>#N/A</v>
      </c>
    </row>
    <row r="91" customHeight="1" spans="2:1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 t="e">
        <v>#N/A</v>
      </c>
      <c r="O91" s="118" t="e">
        <v>#N/A</v>
      </c>
    </row>
    <row r="92" customHeight="1" spans="2:15"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 t="e">
        <v>#N/A</v>
      </c>
      <c r="O92" s="118" t="e">
        <v>#N/A</v>
      </c>
    </row>
    <row r="93" customHeight="1" spans="2:15"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 t="e">
        <v>#N/A</v>
      </c>
      <c r="O93" s="118" t="e">
        <v>#N/A</v>
      </c>
    </row>
    <row r="94" customHeight="1" spans="2:15"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 t="e">
        <v>#N/A</v>
      </c>
      <c r="O94" s="118" t="e">
        <v>#N/A</v>
      </c>
    </row>
    <row r="95" customHeight="1" spans="2:15"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 t="e">
        <v>#N/A</v>
      </c>
      <c r="O95" s="118" t="e">
        <v>#N/A</v>
      </c>
    </row>
    <row r="96" customHeight="1" spans="2:1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 t="e">
        <v>#N/A</v>
      </c>
      <c r="O96" s="118" t="e">
        <v>#N/A</v>
      </c>
    </row>
    <row r="97" customHeight="1" spans="2:15"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 t="e">
        <v>#N/A</v>
      </c>
      <c r="O97" s="118" t="e">
        <v>#N/A</v>
      </c>
    </row>
    <row r="98" customHeight="1" spans="2:15"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 t="e">
        <v>#N/A</v>
      </c>
      <c r="O98" s="118" t="e">
        <v>#N/A</v>
      </c>
    </row>
    <row r="99" customHeight="1" spans="2:15"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 t="e">
        <v>#N/A</v>
      </c>
      <c r="O99" s="118" t="e">
        <v>#N/A</v>
      </c>
    </row>
    <row r="100" customHeight="1" spans="2:15"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 t="e">
        <v>#N/A</v>
      </c>
      <c r="O100" s="118" t="e">
        <v>#N/A</v>
      </c>
    </row>
    <row r="101" customHeight="1" spans="2:15"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 t="e">
        <v>#N/A</v>
      </c>
      <c r="O101" s="118" t="e">
        <v>#N/A</v>
      </c>
    </row>
    <row r="102" customHeight="1" spans="2:15"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 t="e">
        <v>#N/A</v>
      </c>
      <c r="O102" s="118" t="e">
        <v>#N/A</v>
      </c>
    </row>
    <row r="103" customHeight="1" spans="2:15"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 t="e">
        <v>#N/A</v>
      </c>
      <c r="O103" s="118" t="e">
        <v>#N/A</v>
      </c>
    </row>
    <row r="104" customHeight="1" spans="2:15"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 t="e">
        <v>#N/A</v>
      </c>
      <c r="O104" s="118" t="e">
        <v>#N/A</v>
      </c>
    </row>
    <row r="105" customHeight="1" spans="2:15"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 t="e">
        <v>#N/A</v>
      </c>
      <c r="O105" s="118" t="e">
        <v>#N/A</v>
      </c>
    </row>
    <row r="106" customHeight="1" spans="2:15"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 t="e">
        <v>#N/A</v>
      </c>
      <c r="O106" s="118" t="e">
        <v>#N/A</v>
      </c>
    </row>
    <row r="107" customHeight="1" spans="2:15"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 t="e">
        <v>#N/A</v>
      </c>
      <c r="O107" s="118" t="e">
        <v>#N/A</v>
      </c>
    </row>
    <row r="108" customHeight="1" spans="2:15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 t="e">
        <v>#N/A</v>
      </c>
      <c r="O108" s="118" t="e">
        <v>#N/A</v>
      </c>
    </row>
    <row r="109" customHeight="1" spans="2:15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 t="e">
        <v>#N/A</v>
      </c>
      <c r="O109" s="118" t="e">
        <v>#N/A</v>
      </c>
    </row>
    <row r="110" customHeight="1" spans="2:15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 t="e">
        <v>#N/A</v>
      </c>
      <c r="O110" s="118" t="e">
        <v>#N/A</v>
      </c>
    </row>
    <row r="111" customHeight="1" spans="2:15"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 t="e">
        <v>#N/A</v>
      </c>
      <c r="O111" s="118" t="e">
        <v>#N/A</v>
      </c>
    </row>
    <row r="112" customHeight="1" spans="2:15"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 t="e">
        <v>#N/A</v>
      </c>
      <c r="O112" s="118" t="e">
        <v>#N/A</v>
      </c>
    </row>
    <row r="113" customHeight="1" spans="2:15"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 t="e">
        <v>#N/A</v>
      </c>
      <c r="O113" s="118" t="e">
        <v>#N/A</v>
      </c>
    </row>
    <row r="114" customHeight="1" spans="2:15"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 t="e">
        <v>#N/A</v>
      </c>
      <c r="O114" s="118" t="e">
        <v>#N/A</v>
      </c>
    </row>
    <row r="115" customHeight="1" spans="2:15"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 t="e">
        <v>#N/A</v>
      </c>
      <c r="O115" s="118" t="e">
        <v>#N/A</v>
      </c>
    </row>
    <row r="116" customHeight="1" spans="2:15"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 t="e">
        <v>#N/A</v>
      </c>
      <c r="O116" s="118" t="e">
        <v>#N/A</v>
      </c>
    </row>
    <row r="117" customHeight="1" spans="2:15"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 t="e">
        <v>#N/A</v>
      </c>
      <c r="O117" s="118" t="e">
        <v>#N/A</v>
      </c>
    </row>
    <row r="118" customHeight="1" spans="2:15"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 t="e">
        <v>#N/A</v>
      </c>
      <c r="O118" s="118" t="e">
        <v>#N/A</v>
      </c>
    </row>
    <row r="119" customHeight="1" spans="2:15"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 t="e">
        <v>#N/A</v>
      </c>
      <c r="O119" s="118" t="e">
        <v>#N/A</v>
      </c>
    </row>
    <row r="120" customHeight="1" spans="2:15"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 t="e">
        <v>#N/A</v>
      </c>
      <c r="O120" s="118" t="e">
        <v>#N/A</v>
      </c>
    </row>
    <row r="121" customHeight="1" spans="2:15"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 t="e">
        <v>#N/A</v>
      </c>
      <c r="O121" s="118" t="e">
        <v>#N/A</v>
      </c>
    </row>
    <row r="122" customHeight="1" spans="2:15"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 t="e">
        <v>#N/A</v>
      </c>
      <c r="O122" s="118" t="e">
        <v>#N/A</v>
      </c>
    </row>
    <row r="123" customHeight="1" spans="2:15"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 t="e">
        <v>#N/A</v>
      </c>
      <c r="O123" s="118" t="e">
        <v>#N/A</v>
      </c>
    </row>
    <row r="124" customHeight="1" spans="2:15"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 t="e">
        <v>#N/A</v>
      </c>
      <c r="O124" s="118" t="e">
        <v>#N/A</v>
      </c>
    </row>
    <row r="125" customHeight="1" spans="2:15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 t="e">
        <v>#N/A</v>
      </c>
      <c r="O125" s="118" t="e">
        <v>#N/A</v>
      </c>
    </row>
    <row r="126" customHeight="1" spans="2:15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 t="e">
        <v>#N/A</v>
      </c>
      <c r="O126" s="118" t="e">
        <v>#N/A</v>
      </c>
    </row>
    <row r="127" customHeight="1" spans="2:15"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 t="e">
        <v>#N/A</v>
      </c>
      <c r="O127" s="118" t="e">
        <v>#N/A</v>
      </c>
    </row>
    <row r="128" customHeight="1" spans="2:15"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 t="e">
        <v>#N/A</v>
      </c>
      <c r="O128" s="118" t="e">
        <v>#N/A</v>
      </c>
    </row>
    <row r="129" customHeight="1" spans="2:15"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 t="e">
        <v>#N/A</v>
      </c>
      <c r="O129" s="118" t="e">
        <v>#N/A</v>
      </c>
    </row>
    <row r="130" customHeight="1" spans="2:15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 t="e">
        <v>#N/A</v>
      </c>
      <c r="O130" s="118" t="e">
        <v>#N/A</v>
      </c>
    </row>
    <row r="131" customHeight="1" spans="2:15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 t="e">
        <v>#N/A</v>
      </c>
      <c r="O131" s="118" t="e">
        <v>#N/A</v>
      </c>
    </row>
    <row r="132" customHeight="1" spans="2:15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 t="e">
        <v>#N/A</v>
      </c>
      <c r="O132" s="118" t="e">
        <v>#N/A</v>
      </c>
    </row>
    <row r="133" customHeight="1" spans="2:15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 t="e">
        <v>#N/A</v>
      </c>
      <c r="O133" s="118" t="e">
        <v>#N/A</v>
      </c>
    </row>
    <row r="134" customHeight="1" spans="2:15"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 t="e">
        <v>#N/A</v>
      </c>
      <c r="O134" s="118" t="e">
        <v>#N/A</v>
      </c>
    </row>
    <row r="135" customHeight="1" spans="2:15"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 t="e">
        <v>#N/A</v>
      </c>
      <c r="O135" s="118" t="e">
        <v>#N/A</v>
      </c>
    </row>
    <row r="136" customHeight="1" spans="2:15"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 t="e">
        <v>#N/A</v>
      </c>
      <c r="O136" s="118" t="e">
        <v>#N/A</v>
      </c>
    </row>
    <row r="137" customHeight="1" spans="2:15"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 t="e">
        <v>#N/A</v>
      </c>
      <c r="O137" s="118" t="e">
        <v>#N/A</v>
      </c>
    </row>
    <row r="138" customHeight="1" spans="2:15"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 t="e">
        <v>#N/A</v>
      </c>
      <c r="O138" s="118" t="e">
        <v>#N/A</v>
      </c>
    </row>
    <row r="139" customHeight="1" spans="2:15"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 t="e">
        <v>#N/A</v>
      </c>
      <c r="O139" s="118" t="e">
        <v>#N/A</v>
      </c>
    </row>
    <row r="140" customHeight="1" spans="2:15"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 t="e">
        <v>#N/A</v>
      </c>
      <c r="O140" s="118" t="e">
        <v>#N/A</v>
      </c>
    </row>
    <row r="141" customHeight="1" spans="2:15"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 t="e">
        <v>#N/A</v>
      </c>
      <c r="O141" s="118" t="e">
        <v>#N/A</v>
      </c>
    </row>
    <row r="142" customHeight="1" spans="2:15"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 t="e">
        <v>#N/A</v>
      </c>
      <c r="O142" s="118" t="e">
        <v>#N/A</v>
      </c>
    </row>
    <row r="143" customHeight="1" spans="2:15"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 t="e">
        <v>#N/A</v>
      </c>
      <c r="O143" s="118" t="e">
        <v>#N/A</v>
      </c>
    </row>
    <row r="144" customHeight="1" spans="2:15"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 t="e">
        <v>#N/A</v>
      </c>
      <c r="O144" s="118" t="e">
        <v>#N/A</v>
      </c>
    </row>
    <row r="145" customHeight="1" spans="2:15"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 t="e">
        <v>#N/A</v>
      </c>
      <c r="O145" s="118" t="e">
        <v>#N/A</v>
      </c>
    </row>
    <row r="146" customHeight="1" spans="2:15"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 t="e">
        <v>#N/A</v>
      </c>
      <c r="O146" s="118" t="e">
        <v>#N/A</v>
      </c>
    </row>
    <row r="147" customHeight="1" spans="2:15"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 t="e">
        <v>#N/A</v>
      </c>
      <c r="O147" s="118" t="e">
        <v>#N/A</v>
      </c>
    </row>
    <row r="148" customHeight="1" spans="2:15"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 t="e">
        <v>#N/A</v>
      </c>
      <c r="O148" s="118" t="e">
        <v>#N/A</v>
      </c>
    </row>
    <row r="149" customHeight="1" spans="2:15"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 t="e">
        <v>#N/A</v>
      </c>
      <c r="O149" s="118" t="e">
        <v>#N/A</v>
      </c>
    </row>
    <row r="150" customHeight="1" spans="2:15"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 t="e">
        <v>#N/A</v>
      </c>
      <c r="O150" s="118" t="e">
        <v>#N/A</v>
      </c>
    </row>
    <row r="151" customHeight="1" spans="2:15"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 t="e">
        <v>#N/A</v>
      </c>
      <c r="O151" s="118" t="e">
        <v>#N/A</v>
      </c>
    </row>
    <row r="152" customHeight="1" spans="2:15"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 t="e">
        <v>#N/A</v>
      </c>
      <c r="O152" s="118" t="e">
        <v>#N/A</v>
      </c>
    </row>
    <row r="153" customHeight="1" spans="2:15"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 t="e">
        <v>#N/A</v>
      </c>
      <c r="O153" s="118" t="e">
        <v>#N/A</v>
      </c>
    </row>
    <row r="154" customHeight="1" spans="2:15"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 t="e">
        <v>#N/A</v>
      </c>
      <c r="O154" s="118" t="e">
        <v>#N/A</v>
      </c>
    </row>
    <row r="155" customHeight="1" spans="2:15"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 t="e">
        <v>#N/A</v>
      </c>
      <c r="O155" s="118" t="e">
        <v>#N/A</v>
      </c>
    </row>
    <row r="156" customHeight="1" spans="2:15"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 t="e">
        <v>#N/A</v>
      </c>
      <c r="O156" s="118" t="e">
        <v>#N/A</v>
      </c>
    </row>
    <row r="157" customHeight="1" spans="2:15"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 t="e">
        <v>#N/A</v>
      </c>
      <c r="O157" s="118" t="e">
        <v>#N/A</v>
      </c>
    </row>
    <row r="158" customHeight="1" spans="2:15"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 t="e">
        <v>#N/A</v>
      </c>
      <c r="O158" s="118" t="e">
        <v>#N/A</v>
      </c>
    </row>
    <row r="159" customHeight="1" spans="2:15"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 t="e">
        <v>#N/A</v>
      </c>
      <c r="O159" s="118" t="e">
        <v>#N/A</v>
      </c>
    </row>
    <row r="160" customHeight="1" spans="2:15"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 t="e">
        <v>#N/A</v>
      </c>
      <c r="O160" s="118" t="e">
        <v>#N/A</v>
      </c>
    </row>
    <row r="161" customHeight="1" spans="2:15"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 t="e">
        <v>#N/A</v>
      </c>
      <c r="O161" s="118" t="e">
        <v>#N/A</v>
      </c>
    </row>
    <row r="162" customHeight="1" spans="2:15"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 t="e">
        <v>#N/A</v>
      </c>
      <c r="O162" s="118" t="e">
        <v>#N/A</v>
      </c>
    </row>
    <row r="163" customHeight="1" spans="2:15"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 t="e">
        <v>#N/A</v>
      </c>
      <c r="O163" s="118" t="e">
        <v>#N/A</v>
      </c>
    </row>
    <row r="164" customHeight="1" spans="2:15"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 t="e">
        <v>#N/A</v>
      </c>
      <c r="O164" s="118" t="e">
        <v>#N/A</v>
      </c>
    </row>
    <row r="165" customHeight="1" spans="2:15"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 t="e">
        <v>#N/A</v>
      </c>
      <c r="O165" s="118" t="e">
        <v>#N/A</v>
      </c>
    </row>
    <row r="166" customHeight="1" spans="2:15"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 t="e">
        <v>#N/A</v>
      </c>
      <c r="O166" s="118" t="e">
        <v>#N/A</v>
      </c>
    </row>
    <row r="167" customHeight="1" spans="2:15"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 t="e">
        <v>#N/A</v>
      </c>
      <c r="O167" s="118" t="e">
        <v>#N/A</v>
      </c>
    </row>
    <row r="168" customHeight="1" spans="2:15"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 t="e">
        <v>#N/A</v>
      </c>
      <c r="O168" s="118" t="e">
        <v>#N/A</v>
      </c>
    </row>
    <row r="169" customHeight="1" spans="2:15"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 t="e">
        <v>#N/A</v>
      </c>
      <c r="O169" s="118" t="e">
        <v>#N/A</v>
      </c>
    </row>
    <row r="170" customHeight="1" spans="2:15"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 t="e">
        <v>#N/A</v>
      </c>
      <c r="O170" s="118" t="e">
        <v>#N/A</v>
      </c>
    </row>
    <row r="171" customHeight="1" spans="2:15"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 t="e">
        <v>#N/A</v>
      </c>
      <c r="O171" s="118" t="e">
        <v>#N/A</v>
      </c>
    </row>
    <row r="172" customHeight="1" spans="2:15"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 t="e">
        <v>#N/A</v>
      </c>
      <c r="O172" s="118" t="e">
        <v>#N/A</v>
      </c>
    </row>
    <row r="173" customHeight="1" spans="2:15"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 t="e">
        <v>#N/A</v>
      </c>
      <c r="O173" s="118" t="e">
        <v>#N/A</v>
      </c>
    </row>
    <row r="174" customHeight="1" spans="2:15"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 t="e">
        <v>#N/A</v>
      </c>
      <c r="O174" s="118" t="e">
        <v>#N/A</v>
      </c>
    </row>
    <row r="175" customHeight="1" spans="2:15"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 t="e">
        <v>#N/A</v>
      </c>
      <c r="O175" s="118" t="e">
        <v>#N/A</v>
      </c>
    </row>
    <row r="176" customHeight="1" spans="2:15"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 t="e">
        <v>#N/A</v>
      </c>
      <c r="O176" s="118" t="e">
        <v>#N/A</v>
      </c>
    </row>
    <row r="177" customHeight="1" spans="2:15"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 t="e">
        <v>#N/A</v>
      </c>
      <c r="O177" s="118" t="e">
        <v>#N/A</v>
      </c>
    </row>
    <row r="178" customHeight="1" spans="2:15"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 t="e">
        <v>#N/A</v>
      </c>
      <c r="O178" s="118" t="e">
        <v>#N/A</v>
      </c>
    </row>
    <row r="179" customHeight="1" spans="2:15"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 t="e">
        <v>#N/A</v>
      </c>
      <c r="O179" s="118" t="e">
        <v>#N/A</v>
      </c>
    </row>
    <row r="180" customHeight="1" spans="2:15"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 t="e">
        <v>#N/A</v>
      </c>
      <c r="O180" s="118" t="e">
        <v>#N/A</v>
      </c>
    </row>
    <row r="181" customHeight="1" spans="2:15"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 t="e">
        <v>#N/A</v>
      </c>
      <c r="O181" s="118" t="e">
        <v>#N/A</v>
      </c>
    </row>
    <row r="182" customHeight="1" spans="2:15"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 t="e">
        <v>#N/A</v>
      </c>
      <c r="O182" s="118" t="e">
        <v>#N/A</v>
      </c>
    </row>
    <row r="183" customHeight="1" spans="2:15"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 t="e">
        <v>#N/A</v>
      </c>
      <c r="O183" s="118" t="e">
        <v>#N/A</v>
      </c>
    </row>
    <row r="184" customHeight="1" spans="2:15"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 t="e">
        <v>#N/A</v>
      </c>
      <c r="O184" s="118" t="e">
        <v>#N/A</v>
      </c>
    </row>
    <row r="185" customHeight="1" spans="2:15"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 t="e">
        <v>#N/A</v>
      </c>
      <c r="O185" s="118" t="e">
        <v>#N/A</v>
      </c>
    </row>
    <row r="186" customHeight="1" spans="2:15"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 t="e">
        <v>#N/A</v>
      </c>
      <c r="O186" s="118" t="e">
        <v>#N/A</v>
      </c>
    </row>
    <row r="187" customHeight="1" spans="2:15"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 t="e">
        <v>#N/A</v>
      </c>
      <c r="O187" s="118" t="e">
        <v>#N/A</v>
      </c>
    </row>
    <row r="188" customHeight="1" spans="2:15"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 t="e">
        <v>#N/A</v>
      </c>
      <c r="O188" s="118" t="e">
        <v>#N/A</v>
      </c>
    </row>
    <row r="189" customHeight="1" spans="2:15"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 t="e">
        <v>#N/A</v>
      </c>
      <c r="O189" s="118" t="e">
        <v>#N/A</v>
      </c>
    </row>
    <row r="190" customHeight="1" spans="2:15"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 t="e">
        <v>#N/A</v>
      </c>
      <c r="O190" s="118" t="e">
        <v>#N/A</v>
      </c>
    </row>
    <row r="191" customHeight="1" spans="2:15"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 t="e">
        <v>#N/A</v>
      </c>
      <c r="O191" s="118" t="e">
        <v>#N/A</v>
      </c>
    </row>
    <row r="192" customHeight="1" spans="2:15"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 t="e">
        <v>#N/A</v>
      </c>
      <c r="O192" s="118" t="e">
        <v>#N/A</v>
      </c>
    </row>
    <row r="193" customHeight="1" spans="2:15"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 t="e">
        <v>#N/A</v>
      </c>
      <c r="O193" s="118" t="e">
        <v>#N/A</v>
      </c>
    </row>
    <row r="194" customHeight="1" spans="2:15"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 t="e">
        <v>#N/A</v>
      </c>
      <c r="O194" s="118" t="e">
        <v>#N/A</v>
      </c>
    </row>
    <row r="195" customHeight="1" spans="2:15"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 t="e">
        <v>#N/A</v>
      </c>
      <c r="O195" s="118" t="e">
        <v>#N/A</v>
      </c>
    </row>
    <row r="196" customHeight="1" spans="2:15"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 t="e">
        <v>#N/A</v>
      </c>
      <c r="O196" s="118" t="e">
        <v>#N/A</v>
      </c>
    </row>
    <row r="197" customHeight="1" spans="2:15"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 t="e">
        <v>#N/A</v>
      </c>
      <c r="O197" s="118" t="e">
        <v>#N/A</v>
      </c>
    </row>
    <row r="198" customHeight="1" spans="2:15"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 t="e">
        <v>#N/A</v>
      </c>
      <c r="O198" s="118" t="e">
        <v>#N/A</v>
      </c>
    </row>
    <row r="199" customHeight="1" spans="2:15"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 t="e">
        <v>#N/A</v>
      </c>
      <c r="O199" s="118" t="e">
        <v>#N/A</v>
      </c>
    </row>
    <row r="200" customHeight="1" spans="2:15"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 t="e">
        <v>#N/A</v>
      </c>
      <c r="O200" s="118" t="e">
        <v>#N/A</v>
      </c>
    </row>
    <row r="201" customHeight="1" spans="2:15"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 t="e">
        <v>#N/A</v>
      </c>
      <c r="O201" s="118" t="e">
        <v>#N/A</v>
      </c>
    </row>
    <row r="202" customHeight="1" spans="2:15"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 t="e">
        <v>#N/A</v>
      </c>
      <c r="O202" s="118" t="e">
        <v>#N/A</v>
      </c>
    </row>
    <row r="203" customHeight="1" spans="2:15"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 t="e">
        <v>#N/A</v>
      </c>
      <c r="O203" s="118" t="e">
        <v>#N/A</v>
      </c>
    </row>
    <row r="204" customHeight="1" spans="2:15"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 t="e">
        <v>#N/A</v>
      </c>
      <c r="O204" s="118" t="e">
        <v>#N/A</v>
      </c>
    </row>
    <row r="205" customHeight="1" spans="2:15"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 t="e">
        <v>#N/A</v>
      </c>
      <c r="O205" s="118" t="e">
        <v>#N/A</v>
      </c>
    </row>
    <row r="206" customHeight="1" spans="2:15"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 t="e">
        <v>#N/A</v>
      </c>
      <c r="O206" s="118" t="e">
        <v>#N/A</v>
      </c>
    </row>
    <row r="207" customHeight="1" spans="2:15"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 t="e">
        <v>#N/A</v>
      </c>
      <c r="O207" s="118" t="e">
        <v>#N/A</v>
      </c>
    </row>
    <row r="208" customHeight="1" spans="2:15"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 t="e">
        <v>#N/A</v>
      </c>
      <c r="O208" s="118" t="e">
        <v>#N/A</v>
      </c>
    </row>
    <row r="209" customHeight="1" spans="2:15"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 t="e">
        <v>#N/A</v>
      </c>
      <c r="O209" s="118" t="e">
        <v>#N/A</v>
      </c>
    </row>
    <row r="210" customHeight="1" spans="2:15"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 t="e">
        <v>#N/A</v>
      </c>
      <c r="O210" s="118" t="e">
        <v>#N/A</v>
      </c>
    </row>
    <row r="211" customHeight="1" spans="2:15"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 t="e">
        <v>#N/A</v>
      </c>
      <c r="O211" s="118" t="e">
        <v>#N/A</v>
      </c>
    </row>
    <row r="212" customHeight="1" spans="2:15"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 t="e">
        <v>#N/A</v>
      </c>
      <c r="O212" s="118" t="e">
        <v>#N/A</v>
      </c>
    </row>
    <row r="213" customHeight="1" spans="2:15"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 t="e">
        <v>#N/A</v>
      </c>
      <c r="O213" s="118" t="e">
        <v>#N/A</v>
      </c>
    </row>
    <row r="214" customHeight="1" spans="2:15"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 t="e">
        <v>#N/A</v>
      </c>
      <c r="O214" s="118" t="e">
        <v>#N/A</v>
      </c>
    </row>
    <row r="215" customHeight="1" spans="2:15"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 t="e">
        <v>#N/A</v>
      </c>
      <c r="O215" s="118" t="e">
        <v>#N/A</v>
      </c>
    </row>
    <row r="216" customHeight="1" spans="2:15"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 t="e">
        <v>#N/A</v>
      </c>
      <c r="O216" s="118" t="e">
        <v>#N/A</v>
      </c>
    </row>
    <row r="217" customHeight="1" spans="2:15"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 t="e">
        <v>#N/A</v>
      </c>
      <c r="O217" s="118" t="e">
        <v>#N/A</v>
      </c>
    </row>
    <row r="218" customHeight="1" spans="2:15"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 t="e">
        <v>#N/A</v>
      </c>
      <c r="O218" s="118" t="e">
        <v>#N/A</v>
      </c>
    </row>
    <row r="219" customHeight="1" spans="2:15"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 t="e">
        <v>#N/A</v>
      </c>
      <c r="O219" s="118" t="e">
        <v>#N/A</v>
      </c>
    </row>
    <row r="220" customHeight="1" spans="2:15"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 t="e">
        <v>#N/A</v>
      </c>
      <c r="O220" s="118" t="e">
        <v>#N/A</v>
      </c>
    </row>
    <row r="221" customHeight="1" spans="2:15"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 t="e">
        <v>#N/A</v>
      </c>
      <c r="O221" s="118" t="e">
        <v>#N/A</v>
      </c>
    </row>
    <row r="222" customHeight="1" spans="2:15"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 t="e">
        <v>#N/A</v>
      </c>
      <c r="O222" s="118" t="e">
        <v>#N/A</v>
      </c>
    </row>
    <row r="223" customHeight="1" spans="2:15"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 t="e">
        <v>#N/A</v>
      </c>
      <c r="O223" s="118" t="e">
        <v>#N/A</v>
      </c>
    </row>
    <row r="224" customHeight="1" spans="2:15"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 t="e">
        <v>#N/A</v>
      </c>
      <c r="O224" s="118" t="e">
        <v>#N/A</v>
      </c>
    </row>
    <row r="225" customHeight="1" spans="2:15"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 t="e">
        <v>#N/A</v>
      </c>
      <c r="O225" s="118" t="e">
        <v>#N/A</v>
      </c>
    </row>
    <row r="226" customHeight="1" spans="2:15"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 t="e">
        <v>#N/A</v>
      </c>
      <c r="O226" s="118" t="e">
        <v>#N/A</v>
      </c>
    </row>
    <row r="227" customHeight="1" spans="2:15"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 t="e">
        <v>#N/A</v>
      </c>
      <c r="O227" s="118" t="e">
        <v>#N/A</v>
      </c>
    </row>
    <row r="228" customHeight="1" spans="2:15"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 t="e">
        <v>#N/A</v>
      </c>
      <c r="O228" s="118" t="e">
        <v>#N/A</v>
      </c>
    </row>
    <row r="229" customHeight="1" spans="2:15"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 t="e">
        <v>#N/A</v>
      </c>
      <c r="O229" s="118" t="e">
        <v>#N/A</v>
      </c>
    </row>
    <row r="230" customHeight="1" spans="2:15"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 t="e">
        <v>#N/A</v>
      </c>
      <c r="O230" s="118" t="e">
        <v>#N/A</v>
      </c>
    </row>
    <row r="231" customHeight="1" spans="2:15"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 t="e">
        <v>#N/A</v>
      </c>
      <c r="O231" s="118" t="e">
        <v>#N/A</v>
      </c>
    </row>
    <row r="232" customHeight="1" spans="2:15"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 t="e">
        <v>#N/A</v>
      </c>
      <c r="O232" s="118" t="e">
        <v>#N/A</v>
      </c>
    </row>
    <row r="233" customHeight="1" spans="2:15"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 t="e">
        <v>#N/A</v>
      </c>
      <c r="O233" s="118" t="e">
        <v>#N/A</v>
      </c>
    </row>
    <row r="234" customHeight="1" spans="2:15"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 t="e">
        <v>#N/A</v>
      </c>
      <c r="O234" s="118" t="e">
        <v>#N/A</v>
      </c>
    </row>
    <row r="235" customHeight="1" spans="2:15"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 t="e">
        <v>#N/A</v>
      </c>
      <c r="O235" s="118" t="e">
        <v>#N/A</v>
      </c>
    </row>
    <row r="236" customHeight="1" spans="2:15"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 t="e">
        <v>#N/A</v>
      </c>
      <c r="O236" s="118" t="e">
        <v>#N/A</v>
      </c>
    </row>
    <row r="237" customHeight="1" spans="2:15"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 t="e">
        <v>#N/A</v>
      </c>
      <c r="O237" s="118" t="e">
        <v>#N/A</v>
      </c>
    </row>
    <row r="238" customHeight="1" spans="2:15"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 t="e">
        <v>#N/A</v>
      </c>
      <c r="O238" s="118" t="e">
        <v>#N/A</v>
      </c>
    </row>
    <row r="239" customHeight="1" spans="2:15"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 t="e">
        <v>#N/A</v>
      </c>
      <c r="O239" s="118" t="e">
        <v>#N/A</v>
      </c>
    </row>
    <row r="240" customHeight="1" spans="2:15"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 t="e">
        <v>#N/A</v>
      </c>
      <c r="O240" s="118" t="e">
        <v>#N/A</v>
      </c>
    </row>
    <row r="241" customHeight="1" spans="2:15"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 t="e">
        <v>#N/A</v>
      </c>
      <c r="O241" s="118" t="e">
        <v>#N/A</v>
      </c>
    </row>
    <row r="242" customHeight="1" spans="2:15"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 t="e">
        <v>#N/A</v>
      </c>
      <c r="O242" s="118" t="e">
        <v>#N/A</v>
      </c>
    </row>
    <row r="243" customHeight="1" spans="2:15"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 t="e">
        <v>#N/A</v>
      </c>
      <c r="O243" s="118" t="e">
        <v>#N/A</v>
      </c>
    </row>
    <row r="244" customHeight="1" spans="2:15"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 t="e">
        <v>#N/A</v>
      </c>
      <c r="O244" s="118" t="e">
        <v>#N/A</v>
      </c>
    </row>
    <row r="245" customHeight="1" spans="2:15"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 t="e">
        <v>#N/A</v>
      </c>
      <c r="O245" s="118" t="e">
        <v>#N/A</v>
      </c>
    </row>
    <row r="246" customHeight="1" spans="2:15"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 t="e">
        <v>#N/A</v>
      </c>
      <c r="O246" s="118" t="e">
        <v>#N/A</v>
      </c>
    </row>
    <row r="247" customHeight="1" spans="2:15"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 t="e">
        <v>#N/A</v>
      </c>
      <c r="O247" s="118" t="e">
        <v>#N/A</v>
      </c>
    </row>
    <row r="248" customHeight="1" spans="2:15"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 t="e">
        <v>#N/A</v>
      </c>
      <c r="O248" s="118" t="e">
        <v>#N/A</v>
      </c>
    </row>
    <row r="249" customHeight="1" spans="2:15"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 t="e">
        <v>#N/A</v>
      </c>
      <c r="O249" s="118" t="e">
        <v>#N/A</v>
      </c>
    </row>
    <row r="250" customHeight="1" spans="2:15"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 t="e">
        <v>#N/A</v>
      </c>
      <c r="O250" s="118" t="e">
        <v>#N/A</v>
      </c>
    </row>
    <row r="251" customHeight="1" spans="2:15"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 t="e">
        <v>#N/A</v>
      </c>
      <c r="O251" s="118" t="e">
        <v>#N/A</v>
      </c>
    </row>
    <row r="252" customHeight="1" spans="2:15"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 t="e">
        <v>#N/A</v>
      </c>
      <c r="O252" s="118" t="e">
        <v>#N/A</v>
      </c>
    </row>
    <row r="253" customHeight="1" spans="2:15"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 t="e">
        <v>#N/A</v>
      </c>
      <c r="O253" s="118" t="e">
        <v>#N/A</v>
      </c>
    </row>
    <row r="254" customHeight="1" spans="2:15"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 t="e">
        <v>#N/A</v>
      </c>
      <c r="O254" s="118" t="e">
        <v>#N/A</v>
      </c>
    </row>
    <row r="255" customHeight="1" spans="2:15"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 t="e">
        <v>#N/A</v>
      </c>
      <c r="O255" s="118" t="e">
        <v>#N/A</v>
      </c>
    </row>
    <row r="256" customHeight="1" spans="2:15"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 t="e">
        <v>#N/A</v>
      </c>
      <c r="O256" s="118" t="e">
        <v>#N/A</v>
      </c>
    </row>
    <row r="257" customHeight="1" spans="2:15"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 t="e">
        <v>#N/A</v>
      </c>
      <c r="O257" s="118" t="e">
        <v>#N/A</v>
      </c>
    </row>
    <row r="258" customHeight="1" spans="2:15"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 t="e">
        <v>#N/A</v>
      </c>
      <c r="O258" s="118" t="e">
        <v>#N/A</v>
      </c>
    </row>
    <row r="259" customHeight="1" spans="2:15"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 t="e">
        <v>#N/A</v>
      </c>
      <c r="O259" s="118" t="e">
        <v>#N/A</v>
      </c>
    </row>
    <row r="260" customHeight="1" spans="2:15"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 t="e">
        <v>#N/A</v>
      </c>
      <c r="O260" s="118" t="e">
        <v>#N/A</v>
      </c>
    </row>
    <row r="261" customHeight="1" spans="2:15"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 t="e">
        <v>#N/A</v>
      </c>
      <c r="O261" s="118" t="e">
        <v>#N/A</v>
      </c>
    </row>
    <row r="262" customHeight="1" spans="2:15"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 t="e">
        <v>#N/A</v>
      </c>
      <c r="O262" s="118" t="e">
        <v>#N/A</v>
      </c>
    </row>
    <row r="263" customHeight="1" spans="2:15"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 t="e">
        <v>#N/A</v>
      </c>
      <c r="O263" s="118" t="e">
        <v>#N/A</v>
      </c>
    </row>
    <row r="264" customHeight="1" spans="2:15"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 t="e">
        <v>#N/A</v>
      </c>
      <c r="O264" s="118" t="e">
        <v>#N/A</v>
      </c>
    </row>
    <row r="265" customHeight="1" spans="2:15"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 t="e">
        <v>#N/A</v>
      </c>
      <c r="O265" s="118" t="e">
        <v>#N/A</v>
      </c>
    </row>
    <row r="266" customHeight="1" spans="2:15"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 t="e">
        <v>#N/A</v>
      </c>
      <c r="O266" s="118" t="e">
        <v>#N/A</v>
      </c>
    </row>
    <row r="267" customHeight="1" spans="2:15"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 t="e">
        <v>#N/A</v>
      </c>
      <c r="O267" s="118" t="e">
        <v>#N/A</v>
      </c>
    </row>
    <row r="268" customHeight="1" spans="2:15"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 t="e">
        <v>#N/A</v>
      </c>
      <c r="O268" s="118" t="e">
        <v>#N/A</v>
      </c>
    </row>
    <row r="269" customHeight="1" spans="2:15"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 t="e">
        <v>#N/A</v>
      </c>
      <c r="O269" s="118" t="e">
        <v>#N/A</v>
      </c>
    </row>
    <row r="270" customHeight="1" spans="2:15"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 t="e">
        <v>#N/A</v>
      </c>
      <c r="O270" s="118" t="e">
        <v>#N/A</v>
      </c>
    </row>
    <row r="271" customHeight="1" spans="2:15"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 t="e">
        <v>#N/A</v>
      </c>
      <c r="O271" s="118" t="e">
        <v>#N/A</v>
      </c>
    </row>
    <row r="272" customHeight="1" spans="2:15"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 t="e">
        <v>#N/A</v>
      </c>
      <c r="O272" s="118" t="e">
        <v>#N/A</v>
      </c>
    </row>
    <row r="273" customHeight="1" spans="2:15"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 t="e">
        <v>#N/A</v>
      </c>
      <c r="O273" s="118" t="e">
        <v>#N/A</v>
      </c>
    </row>
    <row r="274" customHeight="1" spans="2:15"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 t="e">
        <v>#N/A</v>
      </c>
      <c r="O274" s="118" t="e">
        <v>#N/A</v>
      </c>
    </row>
    <row r="275" customHeight="1" spans="2:15"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 t="e">
        <v>#N/A</v>
      </c>
      <c r="O275" s="118" t="e">
        <v>#N/A</v>
      </c>
    </row>
    <row r="276" customHeight="1" spans="2:15"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 t="e">
        <v>#N/A</v>
      </c>
      <c r="O276" s="118" t="e">
        <v>#N/A</v>
      </c>
    </row>
    <row r="277" customHeight="1" spans="2:15"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 t="e">
        <v>#N/A</v>
      </c>
      <c r="O277" s="118" t="e">
        <v>#N/A</v>
      </c>
    </row>
    <row r="278" customHeight="1" spans="2:15"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 t="e">
        <v>#N/A</v>
      </c>
      <c r="O278" s="118" t="e">
        <v>#N/A</v>
      </c>
    </row>
    <row r="279" customHeight="1" spans="2:15"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 t="e">
        <v>#N/A</v>
      </c>
      <c r="O279" s="118" t="e">
        <v>#N/A</v>
      </c>
    </row>
    <row r="280" customHeight="1" spans="2:15"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 t="e">
        <v>#N/A</v>
      </c>
      <c r="O280" s="118" t="e">
        <v>#N/A</v>
      </c>
    </row>
    <row r="281" customHeight="1" spans="2:15"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 t="e">
        <v>#N/A</v>
      </c>
      <c r="O281" s="118" t="e">
        <v>#N/A</v>
      </c>
    </row>
    <row r="282" customHeight="1" spans="2:15"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 t="e">
        <v>#N/A</v>
      </c>
      <c r="O282" s="118" t="e">
        <v>#N/A</v>
      </c>
    </row>
    <row r="283" customHeight="1" spans="2:15"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 t="e">
        <v>#N/A</v>
      </c>
      <c r="O283" s="118" t="e">
        <v>#N/A</v>
      </c>
    </row>
    <row r="284" customHeight="1" spans="14:15">
      <c r="N284" s="148" t="e">
        <v>#N/A</v>
      </c>
      <c r="O284" s="148" t="e">
        <v>#N/A</v>
      </c>
    </row>
    <row r="285" customHeight="1" spans="14:15">
      <c r="N285" s="148" t="e">
        <v>#N/A</v>
      </c>
      <c r="O285" s="148" t="e">
        <v>#N/A</v>
      </c>
    </row>
    <row r="286" customHeight="1" spans="14:15">
      <c r="N286" s="148" t="e">
        <v>#N/A</v>
      </c>
      <c r="O286" s="148" t="e">
        <v>#N/A</v>
      </c>
    </row>
    <row r="287" customHeight="1" spans="14:15">
      <c r="N287" s="148" t="e">
        <v>#N/A</v>
      </c>
      <c r="O287" s="148" t="e">
        <v>#N/A</v>
      </c>
    </row>
    <row r="288" customHeight="1" spans="14:15">
      <c r="N288" s="148" t="e">
        <v>#N/A</v>
      </c>
      <c r="O288" s="148" t="e">
        <v>#N/A</v>
      </c>
    </row>
    <row r="289" customHeight="1" spans="14:15">
      <c r="N289" s="148" t="e">
        <v>#N/A</v>
      </c>
      <c r="O289" s="148" t="e">
        <v>#N/A</v>
      </c>
    </row>
    <row r="290" customHeight="1" spans="14:15">
      <c r="N290" s="148" t="e">
        <v>#N/A</v>
      </c>
      <c r="O290" s="148" t="e">
        <v>#N/A</v>
      </c>
    </row>
    <row r="291" customHeight="1" spans="14:15">
      <c r="N291" s="148" t="e">
        <v>#N/A</v>
      </c>
      <c r="O291" s="148" t="e">
        <v>#N/A</v>
      </c>
    </row>
    <row r="292" customHeight="1" spans="14:15">
      <c r="N292" s="148" t="e">
        <v>#N/A</v>
      </c>
      <c r="O292" s="148" t="e">
        <v>#N/A</v>
      </c>
    </row>
    <row r="293" customHeight="1" spans="14:15">
      <c r="N293" s="148" t="e">
        <v>#N/A</v>
      </c>
      <c r="O293" s="148" t="e">
        <v>#N/A</v>
      </c>
    </row>
    <row r="294" customHeight="1" spans="14:15">
      <c r="N294" s="148" t="e">
        <v>#N/A</v>
      </c>
      <c r="O294" s="148" t="e">
        <v>#N/A</v>
      </c>
    </row>
    <row r="295" customHeight="1" spans="14:15">
      <c r="N295" s="148" t="e">
        <v>#N/A</v>
      </c>
      <c r="O295" s="148" t="e">
        <v>#N/A</v>
      </c>
    </row>
    <row r="296" customHeight="1" spans="14:15">
      <c r="N296" s="148" t="e">
        <v>#N/A</v>
      </c>
      <c r="O296" s="148" t="e">
        <v>#N/A</v>
      </c>
    </row>
    <row r="297" customHeight="1" spans="14:15">
      <c r="N297" s="148" t="e">
        <v>#N/A</v>
      </c>
      <c r="O297" s="148" t="e">
        <v>#N/A</v>
      </c>
    </row>
    <row r="298" customHeight="1" spans="14:15">
      <c r="N298" s="148" t="e">
        <v>#N/A</v>
      </c>
      <c r="O298" s="148" t="e">
        <v>#N/A</v>
      </c>
    </row>
    <row r="299" customHeight="1" spans="14:15">
      <c r="N299" s="148" t="e">
        <v>#N/A</v>
      </c>
      <c r="O299" s="148" t="e">
        <v>#N/A</v>
      </c>
    </row>
    <row r="300" customHeight="1" spans="14:15">
      <c r="N300" s="148" t="e">
        <v>#N/A</v>
      </c>
      <c r="O300" s="148" t="e">
        <v>#N/A</v>
      </c>
    </row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G386"/>
  <sheetViews>
    <sheetView showFormulas="1" showGridLines="0" topLeftCell="B1" workbookViewId="0">
      <selection activeCell="B15" sqref="B15"/>
    </sheetView>
  </sheetViews>
  <sheetFormatPr defaultColWidth="9" defaultRowHeight="14.25"/>
  <cols>
    <col min="1" max="1" width="28.25" customWidth="1"/>
    <col min="2" max="2" width="9.625" customWidth="1"/>
    <col min="3" max="4" width="9.5" customWidth="1"/>
    <col min="33" max="33" width="12.75" customWidth="1"/>
    <col min="38" max="38" width="12.25" customWidth="1"/>
    <col min="39" max="39" width="7.625" customWidth="1"/>
    <col min="40" max="40" width="8.25" customWidth="1"/>
    <col min="41" max="41" width="12.25" customWidth="1"/>
    <col min="46" max="46" width="13.5" customWidth="1"/>
    <col min="50" max="50" width="10.375" customWidth="1"/>
  </cols>
  <sheetData>
    <row r="1" spans="1:59">
      <c r="A1" s="114" t="s">
        <v>111</v>
      </c>
      <c r="B1" s="115" t="s">
        <v>199</v>
      </c>
      <c r="C1" s="115" t="s">
        <v>183</v>
      </c>
      <c r="D1" s="115" t="s">
        <v>200</v>
      </c>
      <c r="E1" s="115"/>
      <c r="F1" s="115"/>
      <c r="G1" s="115"/>
      <c r="H1" s="115" t="s">
        <v>181</v>
      </c>
      <c r="I1" s="115" t="s">
        <v>201</v>
      </c>
      <c r="J1" s="115" t="s">
        <v>202</v>
      </c>
      <c r="K1" s="115" t="s">
        <v>203</v>
      </c>
      <c r="L1" s="115" t="s">
        <v>204</v>
      </c>
      <c r="M1" s="115" t="s">
        <v>205</v>
      </c>
      <c r="N1" s="115" t="s">
        <v>206</v>
      </c>
      <c r="O1" s="115" t="s">
        <v>207</v>
      </c>
      <c r="P1" s="115"/>
      <c r="Q1" s="115" t="s">
        <v>208</v>
      </c>
      <c r="R1" s="115" t="s">
        <v>209</v>
      </c>
      <c r="S1" s="115" t="s">
        <v>210</v>
      </c>
      <c r="T1" s="115" t="s">
        <v>211</v>
      </c>
      <c r="U1" s="115" t="s">
        <v>212</v>
      </c>
      <c r="V1" s="115" t="s">
        <v>213</v>
      </c>
      <c r="W1" s="115" t="s">
        <v>214</v>
      </c>
      <c r="X1" s="115" t="s">
        <v>215</v>
      </c>
      <c r="Y1" s="115" t="s">
        <v>216</v>
      </c>
      <c r="Z1" s="115" t="s">
        <v>217</v>
      </c>
      <c r="AA1" s="115" t="s">
        <v>218</v>
      </c>
      <c r="AB1" s="115" t="s">
        <v>207</v>
      </c>
      <c r="AC1" s="115" t="s">
        <v>208</v>
      </c>
      <c r="AD1" s="115" t="s">
        <v>209</v>
      </c>
      <c r="AE1" s="134"/>
      <c r="AF1" s="115" t="s">
        <v>219</v>
      </c>
      <c r="AG1" s="115"/>
      <c r="AH1" s="145" t="s">
        <v>220</v>
      </c>
      <c r="AI1" s="145"/>
      <c r="AJ1" s="145"/>
      <c r="AK1" s="145"/>
      <c r="AL1" s="145"/>
      <c r="AU1" s="34">
        <f>1/球探欧赔数据录入表!C5</f>
        <v>0.428336063599108</v>
      </c>
      <c r="AV1" s="34">
        <f>1/球探欧赔数据录入表!D5</f>
        <v>0.31553396378378</v>
      </c>
      <c r="AW1" s="34">
        <f>1/球探欧赔数据录入表!E5</f>
        <v>0.331041493603998</v>
      </c>
      <c r="AX1" s="147">
        <f>1/(AU1+AV1+AW1)</f>
        <v>0.930309128217259</v>
      </c>
      <c r="AY1" s="4">
        <f>$AX1/球探欧赔数据录入表!C5</f>
        <v>0.398484949910899</v>
      </c>
      <c r="AZ1" s="4">
        <f>$AX1/球探欧赔数据录入表!D5</f>
        <v>0.293544126770625</v>
      </c>
      <c r="BA1" s="4">
        <f>$AX1/球探欧赔数据录入表!E5</f>
        <v>0.307970923318475</v>
      </c>
      <c r="BB1" s="4" t="e">
        <f>HARMEAN(BB2,BE2)</f>
        <v>#NUM!</v>
      </c>
      <c r="BC1" s="4" t="e">
        <f>HARMEAN(BC2,BF2)</f>
        <v>#NUM!</v>
      </c>
      <c r="BD1" s="4" t="e">
        <f>HARMEAN(BD2,BG2)</f>
        <v>#NUM!</v>
      </c>
      <c r="BE1" s="4">
        <f>_xlfn.AGGREGATE(8,6,BB3:BB401)*10</f>
        <v>1.68310445668384</v>
      </c>
      <c r="BF1" s="4">
        <f>_xlfn.AGGREGATE(8,6,BC3:BC401)*10</f>
        <v>1.68294977346619</v>
      </c>
      <c r="BG1" s="4">
        <f>_xlfn.AGGREGATE(8,6,BD3:BD401)*10</f>
        <v>1.68346186604414</v>
      </c>
    </row>
    <row r="2" ht="15.75" customHeight="1" spans="1:59">
      <c r="A2" s="26" t="s">
        <v>187</v>
      </c>
      <c r="B2" s="116">
        <f ca="1">VALUE(VLOOKUP($A2,球探欧赔数据录入表!$B$1:球探欧赔数据录入表!$P$400,2,FALSE))</f>
        <v>2.33461546897888</v>
      </c>
      <c r="C2" s="116">
        <f ca="1">VALUE(VLOOKUP($A2,球探欧赔数据录入表!$B$1:球探欧赔数据录入表!$P$400,3,FALSE))</f>
        <v>3.16923093795776</v>
      </c>
      <c r="D2" s="116">
        <f ca="1">VALUE(VLOOKUP($A2,球探欧赔数据录入表!$B$1:球探欧赔数据录入表!$P$400,4,FALSE))</f>
        <v>3.02076935768127</v>
      </c>
      <c r="E2" s="117">
        <f ca="1" t="shared" ref="E2:E20" si="0">1/B2</f>
        <v>0.428336063599108</v>
      </c>
      <c r="F2" s="117">
        <f ca="1" t="shared" ref="F2:F20" si="1">1/C2</f>
        <v>0.31553396378378</v>
      </c>
      <c r="G2" s="117">
        <f ca="1" t="shared" ref="G2:G20" si="2">1/D2</f>
        <v>0.331041493603999</v>
      </c>
      <c r="H2" s="117">
        <f ca="1" t="shared" ref="H2:H20" si="3">1/(E2+F2+G2)</f>
        <v>0.93030912821726</v>
      </c>
      <c r="I2" s="117">
        <f ca="1" t="shared" ref="I2:I20" si="4">$H2/B2</f>
        <v>0.398484949910899</v>
      </c>
      <c r="J2" s="117">
        <f ca="1" t="shared" ref="J2:J20" si="5">$H2/C2</f>
        <v>0.293544126770625</v>
      </c>
      <c r="K2" s="117">
        <f ca="1" t="shared" ref="K2:K20" si="6">$H2/D2</f>
        <v>0.307970923318476</v>
      </c>
      <c r="L2" s="119">
        <f ca="1" t="shared" ref="L2:L20" si="7">MIN(B2:D2)</f>
        <v>2.33461546897888</v>
      </c>
      <c r="M2" s="125">
        <f ca="1" t="shared" ref="M2:M20" si="8">MAX(I2:K2)</f>
        <v>0.398484949910899</v>
      </c>
      <c r="N2" s="125">
        <f ca="1" t="shared" ref="N2:N20" si="9">MEDIAN(I2:K2)</f>
        <v>0.307970923318476</v>
      </c>
      <c r="O2" s="119">
        <f ca="1" t="shared" ref="O2:O20" si="10">(M2-N2)/N2</f>
        <v>0.293904455710002</v>
      </c>
      <c r="P2" s="119"/>
      <c r="Q2" s="128">
        <f ca="1" t="shared" ref="Q2:Q20" si="11">IF(O2&lt;0.5,0.25,0.5)</f>
        <v>0.25</v>
      </c>
      <c r="R2" s="128">
        <f ca="1" t="shared" ref="R2:R20" si="12">FLOOR(O2,Q2)</f>
        <v>0.25</v>
      </c>
      <c r="S2" s="129">
        <f ca="1" t="shared" ref="S2:S20" si="13">Q2+R2</f>
        <v>0.5</v>
      </c>
      <c r="T2" s="129">
        <f ca="1" t="shared" ref="T2:T20" si="14">IF(S2&lt;1,0.5,S2)</f>
        <v>0.5</v>
      </c>
      <c r="U2" s="129">
        <f ca="1" t="shared" ref="U2:U20" si="15">IF(T2&lt;1,0.25,0)</f>
        <v>0.25</v>
      </c>
      <c r="V2" s="130">
        <f ca="1" t="shared" ref="V2:V20" si="16">S2+U2</f>
        <v>0.75</v>
      </c>
      <c r="W2" s="130">
        <f ca="1" t="shared" ref="W2:W20" si="17">V2+Q2</f>
        <v>1</v>
      </c>
      <c r="X2" s="130">
        <f ca="1" t="shared" ref="X2:X20" si="18">IF(S2=0.25,0.925,1.1)</f>
        <v>1.1</v>
      </c>
      <c r="Y2" s="130">
        <f ca="1" t="shared" ref="Y2:Y20" si="19">IF(V2=0.75,0.25,0.5)</f>
        <v>0.25</v>
      </c>
      <c r="Z2" s="119">
        <f ca="1" t="shared" ref="Z2:Z20" si="20">(X2-1.1*V2/W2)/Y2</f>
        <v>1.1</v>
      </c>
      <c r="AA2" s="135">
        <f ca="1" t="shared" ref="AA2:AA20" si="21">X2-(O2-R2)*Z2</f>
        <v>1.051705098719</v>
      </c>
      <c r="AB2" s="136">
        <f ca="1" t="shared" ref="AB2:AB20" si="22">S2*0.5</f>
        <v>0.25</v>
      </c>
      <c r="AC2" s="136" t="str">
        <f ca="1" t="shared" ref="AC2:AC20" si="23">TEXT(AA2,"#,##0.00")</f>
        <v>1.05</v>
      </c>
      <c r="AD2" s="137">
        <f ca="1" t="shared" ref="AD2:AD20" si="24">AB2</f>
        <v>0.25</v>
      </c>
      <c r="AE2" s="138">
        <f ca="1" t="shared" ref="AE2:AE20" si="25">IF(L2=D2,-AD2,AD2)</f>
        <v>0.25</v>
      </c>
      <c r="AF2" s="139" t="str">
        <f ca="1" t="shared" ref="AF2:AF20" si="26">TEXT(AE2,"#,##0.00")</f>
        <v>0.25</v>
      </c>
      <c r="AG2" s="139" t="str">
        <f ca="1" t="shared" ref="AG2:AG23" si="27">CONCATENATE(AF2,"/",AC2)</f>
        <v>0.25/1.05</v>
      </c>
      <c r="AH2" s="26"/>
      <c r="AI2" s="26"/>
      <c r="AJ2" s="26"/>
      <c r="AK2" s="26"/>
      <c r="AL2" s="26"/>
      <c r="BB2" s="92">
        <f>_xlfn.AGGREGATE(4,6,BB3:BB401)</f>
        <v>0.960348763487505</v>
      </c>
      <c r="BC2" s="92">
        <f>_xlfn.AGGREGATE(4,6,BC3:BC401)</f>
        <v>0.968695604345786</v>
      </c>
      <c r="BD2" s="92">
        <f>_xlfn.AGGREGATE(4,6,BD3:BD401)</f>
        <v>1.00090550078504</v>
      </c>
      <c r="BE2" s="55">
        <f>_xlfn.AGGREGATE(5,6,BB3:BB401)</f>
        <v>0</v>
      </c>
      <c r="BF2" s="55">
        <f>_xlfn.AGGREGATE(5,6,BC3:BC401)</f>
        <v>0</v>
      </c>
      <c r="BG2" s="55">
        <f>_xlfn.AGGREGATE(5,6,BD3:BD401)</f>
        <v>0</v>
      </c>
    </row>
    <row r="3" ht="15.75" customHeight="1" spans="1:56">
      <c r="A3" s="26" t="s">
        <v>221</v>
      </c>
      <c r="B3" s="117" t="e">
        <f ca="1">VALUE(VLOOKUP($A3,球探欧赔数据录入表!$B$1:球探欧赔数据录入表!$P$400,2,FALSE))</f>
        <v>#N/A</v>
      </c>
      <c r="C3" s="117" t="e">
        <f ca="1">VALUE(VLOOKUP($A3,球探欧赔数据录入表!$B$1:球探欧赔数据录入表!$P$400,3,FALSE))</f>
        <v>#N/A</v>
      </c>
      <c r="D3" s="117" t="e">
        <f ca="1">VALUE(VLOOKUP($A3,球探欧赔数据录入表!$B$1:球探欧赔数据录入表!$P$400,4,FALSE))</f>
        <v>#N/A</v>
      </c>
      <c r="E3" s="117" t="e">
        <f ca="1" t="shared" si="0"/>
        <v>#N/A</v>
      </c>
      <c r="F3" s="117" t="e">
        <f ca="1" t="shared" si="1"/>
        <v>#N/A</v>
      </c>
      <c r="G3" s="117" t="e">
        <f ca="1" t="shared" si="2"/>
        <v>#N/A</v>
      </c>
      <c r="H3" s="117" t="e">
        <f ca="1" t="shared" si="3"/>
        <v>#N/A</v>
      </c>
      <c r="I3" s="117" t="e">
        <f ca="1" t="shared" si="4"/>
        <v>#N/A</v>
      </c>
      <c r="J3" s="117" t="e">
        <f ca="1" t="shared" si="5"/>
        <v>#N/A</v>
      </c>
      <c r="K3" s="117" t="e">
        <f ca="1" t="shared" si="6"/>
        <v>#N/A</v>
      </c>
      <c r="L3" s="119" t="e">
        <f ca="1" t="shared" si="7"/>
        <v>#N/A</v>
      </c>
      <c r="M3" s="125" t="e">
        <f ca="1" t="shared" si="8"/>
        <v>#N/A</v>
      </c>
      <c r="N3" s="125" t="e">
        <f ca="1" t="shared" si="9"/>
        <v>#N/A</v>
      </c>
      <c r="O3" s="119" t="e">
        <f ca="1" t="shared" si="10"/>
        <v>#N/A</v>
      </c>
      <c r="P3" s="119"/>
      <c r="Q3" s="128" t="e">
        <f ca="1" t="shared" si="11"/>
        <v>#N/A</v>
      </c>
      <c r="R3" s="128" t="e">
        <f ca="1" t="shared" si="12"/>
        <v>#N/A</v>
      </c>
      <c r="S3" s="129" t="e">
        <f ca="1" t="shared" si="13"/>
        <v>#N/A</v>
      </c>
      <c r="T3" s="129" t="e">
        <f ca="1" t="shared" si="14"/>
        <v>#N/A</v>
      </c>
      <c r="U3" s="129" t="e">
        <f ca="1" t="shared" si="15"/>
        <v>#N/A</v>
      </c>
      <c r="V3" s="130" t="e">
        <f ca="1" t="shared" si="16"/>
        <v>#N/A</v>
      </c>
      <c r="W3" s="130" t="e">
        <f ca="1" t="shared" si="17"/>
        <v>#N/A</v>
      </c>
      <c r="X3" s="130" t="e">
        <f ca="1" t="shared" si="18"/>
        <v>#N/A</v>
      </c>
      <c r="Y3" s="130" t="e">
        <f ca="1" t="shared" si="19"/>
        <v>#N/A</v>
      </c>
      <c r="Z3" s="119" t="e">
        <f ca="1" t="shared" si="20"/>
        <v>#N/A</v>
      </c>
      <c r="AA3" s="135" t="e">
        <f ca="1" t="shared" si="21"/>
        <v>#N/A</v>
      </c>
      <c r="AB3" s="136" t="e">
        <f ca="1" t="shared" si="22"/>
        <v>#N/A</v>
      </c>
      <c r="AC3" s="136" t="e">
        <f ca="1" t="shared" si="23"/>
        <v>#N/A</v>
      </c>
      <c r="AD3" s="137" t="e">
        <f ca="1" t="shared" si="24"/>
        <v>#N/A</v>
      </c>
      <c r="AE3" s="138" t="e">
        <f ca="1" t="shared" si="25"/>
        <v>#N/A</v>
      </c>
      <c r="AF3" s="139" t="e">
        <f ca="1" t="shared" si="26"/>
        <v>#N/A</v>
      </c>
      <c r="AG3" s="139" t="e">
        <f ca="1" t="shared" si="27"/>
        <v>#N/A</v>
      </c>
      <c r="AH3" s="26">
        <f>球探亚洲盘口数据录入!C18</f>
        <v>0</v>
      </c>
      <c r="AI3" s="26">
        <f>球探亚洲盘口数据录入!E18</f>
        <v>0</v>
      </c>
      <c r="AJ3" s="26" t="str">
        <f>FIXED(球探亚洲盘口数据录入!D18)</f>
        <v>0.00</v>
      </c>
      <c r="AK3" s="26" t="e">
        <f ca="1" t="shared" ref="AK3:AK14" si="28">IF(L3=B3,AH3,AI3)</f>
        <v>#N/A</v>
      </c>
      <c r="AL3" s="146" t="e">
        <f ca="1" t="shared" ref="AL3:AL14" si="29">AJ3&amp;"/"&amp;AK3</f>
        <v>#N/A</v>
      </c>
      <c r="BB3" s="4">
        <f>IF(球探欧赔数据录入表!C6&gt;0,球探欧赔数据录入表!C6*AY$1,"")</f>
        <v>0.916515365793823</v>
      </c>
      <c r="BC3" s="4">
        <f>IF(球探欧赔数据录入表!D6&gt;0,球探欧赔数据录入表!D6*AZ$1,"")</f>
        <v>0.909986764994388</v>
      </c>
      <c r="BD3" s="4">
        <f>IF(球探欧赔数据录入表!E6&gt;0,球探欧赔数据录入表!E6*BA$1,"")</f>
        <v>1.00090550078504</v>
      </c>
    </row>
    <row r="4" ht="15.75" customHeight="1" spans="1:56">
      <c r="A4" s="26" t="s">
        <v>188</v>
      </c>
      <c r="B4" s="117">
        <f ca="1">VALUE(VLOOKUP($A4,球探欧赔数据录入表!$B$1:球探欧赔数据录入表!$P$400,2,FALSE))</f>
        <v>2.29999995231628</v>
      </c>
      <c r="C4" s="117">
        <f ca="1">VALUE(VLOOKUP($A4,球探欧赔数据录入表!$B$1:球探欧赔数据录入表!$P$400,3,FALSE))</f>
        <v>3.09999990463257</v>
      </c>
      <c r="D4" s="117">
        <f ca="1">VALUE(VLOOKUP($A4,球探欧赔数据录入表!$B$1:球探欧赔数据录入表!$P$400,4,FALSE))</f>
        <v>3.25</v>
      </c>
      <c r="E4" s="117">
        <f ca="1" t="shared" si="0"/>
        <v>0.434782617709588</v>
      </c>
      <c r="F4" s="117">
        <f ca="1" t="shared" si="1"/>
        <v>0.322580655085061</v>
      </c>
      <c r="G4" s="117">
        <f ca="1" t="shared" si="2"/>
        <v>0.307692307692308</v>
      </c>
      <c r="H4" s="117">
        <f ca="1" t="shared" si="3"/>
        <v>0.938918135655219</v>
      </c>
      <c r="I4" s="117">
        <f ca="1" t="shared" si="4"/>
        <v>0.408225284835182</v>
      </c>
      <c r="J4" s="117">
        <f ca="1" t="shared" si="5"/>
        <v>0.302876827270904</v>
      </c>
      <c r="K4" s="117">
        <f ca="1" t="shared" si="6"/>
        <v>0.288897887893914</v>
      </c>
      <c r="L4" s="119">
        <f ca="1" t="shared" si="7"/>
        <v>2.29999995231628</v>
      </c>
      <c r="M4" s="125">
        <f ca="1" t="shared" si="8"/>
        <v>0.408225284835182</v>
      </c>
      <c r="N4" s="125">
        <f ca="1" t="shared" si="9"/>
        <v>0.302876827270904</v>
      </c>
      <c r="O4" s="119">
        <f ca="1" t="shared" si="10"/>
        <v>0.347826073435622</v>
      </c>
      <c r="P4" s="119"/>
      <c r="Q4" s="128">
        <f ca="1" t="shared" si="11"/>
        <v>0.25</v>
      </c>
      <c r="R4" s="128">
        <f ca="1" t="shared" si="12"/>
        <v>0.25</v>
      </c>
      <c r="S4" s="129">
        <f ca="1" t="shared" si="13"/>
        <v>0.5</v>
      </c>
      <c r="T4" s="129">
        <f ca="1" t="shared" si="14"/>
        <v>0.5</v>
      </c>
      <c r="U4" s="129">
        <f ca="1" t="shared" si="15"/>
        <v>0.25</v>
      </c>
      <c r="V4" s="130">
        <f ca="1" t="shared" si="16"/>
        <v>0.75</v>
      </c>
      <c r="W4" s="130">
        <f ca="1" t="shared" si="17"/>
        <v>1</v>
      </c>
      <c r="X4" s="130">
        <f ca="1" t="shared" si="18"/>
        <v>1.1</v>
      </c>
      <c r="Y4" s="130">
        <f ca="1" t="shared" si="19"/>
        <v>0.25</v>
      </c>
      <c r="Z4" s="119">
        <f ca="1" t="shared" si="20"/>
        <v>1.1</v>
      </c>
      <c r="AA4" s="135">
        <f ca="1" t="shared" si="21"/>
        <v>0.992391319220816</v>
      </c>
      <c r="AB4" s="136">
        <f ca="1" t="shared" si="22"/>
        <v>0.25</v>
      </c>
      <c r="AC4" s="136" t="str">
        <f ca="1" t="shared" si="23"/>
        <v>0.99</v>
      </c>
      <c r="AD4" s="137">
        <f ca="1" t="shared" si="24"/>
        <v>0.25</v>
      </c>
      <c r="AE4" s="138">
        <f ca="1" t="shared" si="25"/>
        <v>0.25</v>
      </c>
      <c r="AF4" s="139" t="str">
        <f ca="1" t="shared" si="26"/>
        <v>0.25</v>
      </c>
      <c r="AG4" s="139" t="str">
        <f ca="1" t="shared" si="27"/>
        <v>0.25/0.99</v>
      </c>
      <c r="AH4" s="26" t="str">
        <f>球探亚洲盘口数据录入!C19</f>
        <v>0.95</v>
      </c>
      <c r="AI4" s="26" t="str">
        <f>球探亚洲盘口数据录入!E19</f>
        <v>0.91</v>
      </c>
      <c r="AJ4" s="26" t="str">
        <f>FIXED(球探亚洲盘口数据录入!D19)</f>
        <v>0.25</v>
      </c>
      <c r="AK4" s="26" t="str">
        <f ca="1" t="shared" si="28"/>
        <v>0.95</v>
      </c>
      <c r="AL4" s="146" t="str">
        <f ca="1" t="shared" si="29"/>
        <v>0.25/0.95</v>
      </c>
      <c r="BB4" s="4">
        <f>IF(球探欧赔数据录入表!C7&gt;0,球探欧赔数据录入表!C7*AY$1,"")</f>
        <v>0.896591137299523</v>
      </c>
      <c r="BC4" s="4">
        <f>IF(球探欧赔数据录入表!D7&gt;0,球探欧赔数据录入表!D7*AZ$1,"")</f>
        <v>0.909986764994388</v>
      </c>
      <c r="BD4" s="4">
        <f>IF(球探欧赔数据录入表!E7&gt;0,球探欧赔数据录入表!E7*BA$1,"")</f>
        <v>0.923912769955427</v>
      </c>
    </row>
    <row r="5" ht="15.75" customHeight="1" spans="1:56">
      <c r="A5" s="26" t="s">
        <v>189</v>
      </c>
      <c r="B5" s="117">
        <f ca="1">VALUE(VLOOKUP($A5,球探欧赔数据录入表!$B$1:球探欧赔数据录入表!$P$400,2,FALSE))</f>
        <v>2.25</v>
      </c>
      <c r="C5" s="117">
        <f ca="1">VALUE(VLOOKUP($A5,球探欧赔数据录入表!$B$1:球探欧赔数据录入表!$P$400,3,FALSE))</f>
        <v>3.09999990463257</v>
      </c>
      <c r="D5" s="117">
        <f ca="1">VALUE(VLOOKUP($A5,球探欧赔数据录入表!$B$1:球探欧赔数据录入表!$P$400,4,FALSE))</f>
        <v>3</v>
      </c>
      <c r="E5" s="117">
        <f ca="1" t="shared" si="0"/>
        <v>0.444444444444444</v>
      </c>
      <c r="F5" s="117">
        <f ca="1" t="shared" si="1"/>
        <v>0.322580655085061</v>
      </c>
      <c r="G5" s="117">
        <f ca="1" t="shared" si="2"/>
        <v>0.333333333333333</v>
      </c>
      <c r="H5" s="117">
        <f ca="1" t="shared" si="3"/>
        <v>0.908794780077495</v>
      </c>
      <c r="I5" s="117">
        <f ca="1" t="shared" si="4"/>
        <v>0.403908791145553</v>
      </c>
      <c r="J5" s="117">
        <f ca="1" t="shared" si="5"/>
        <v>0.293159615495282</v>
      </c>
      <c r="K5" s="117">
        <f ca="1" t="shared" si="6"/>
        <v>0.302931593359165</v>
      </c>
      <c r="L5" s="119">
        <f ca="1" t="shared" si="7"/>
        <v>2.25</v>
      </c>
      <c r="M5" s="125">
        <f ca="1" t="shared" si="8"/>
        <v>0.403908791145553</v>
      </c>
      <c r="N5" s="125">
        <f ca="1" t="shared" si="9"/>
        <v>0.302931593359165</v>
      </c>
      <c r="O5" s="119">
        <f ca="1" t="shared" si="10"/>
        <v>0.333333333333333</v>
      </c>
      <c r="P5" s="119"/>
      <c r="Q5" s="128">
        <f ca="1" t="shared" si="11"/>
        <v>0.25</v>
      </c>
      <c r="R5" s="128">
        <f ca="1" t="shared" si="12"/>
        <v>0.25</v>
      </c>
      <c r="S5" s="129">
        <f ca="1" t="shared" si="13"/>
        <v>0.5</v>
      </c>
      <c r="T5" s="129">
        <f ca="1" t="shared" si="14"/>
        <v>0.5</v>
      </c>
      <c r="U5" s="129">
        <f ca="1" t="shared" si="15"/>
        <v>0.25</v>
      </c>
      <c r="V5" s="130">
        <f ca="1" t="shared" si="16"/>
        <v>0.75</v>
      </c>
      <c r="W5" s="130">
        <f ca="1" t="shared" si="17"/>
        <v>1</v>
      </c>
      <c r="X5" s="130">
        <f ca="1" t="shared" si="18"/>
        <v>1.1</v>
      </c>
      <c r="Y5" s="130">
        <f ca="1" t="shared" si="19"/>
        <v>0.25</v>
      </c>
      <c r="Z5" s="119">
        <f ca="1" t="shared" si="20"/>
        <v>1.1</v>
      </c>
      <c r="AA5" s="135">
        <f ca="1" t="shared" si="21"/>
        <v>1.00833333333333</v>
      </c>
      <c r="AB5" s="136">
        <f ca="1" t="shared" si="22"/>
        <v>0.25</v>
      </c>
      <c r="AC5" s="136" t="str">
        <f ca="1" t="shared" si="23"/>
        <v>1.01</v>
      </c>
      <c r="AD5" s="137">
        <f ca="1" t="shared" si="24"/>
        <v>0.25</v>
      </c>
      <c r="AE5" s="138">
        <f ca="1" t="shared" si="25"/>
        <v>0.25</v>
      </c>
      <c r="AF5" s="139" t="str">
        <f ca="1" t="shared" si="26"/>
        <v>0.25</v>
      </c>
      <c r="AG5" s="139" t="str">
        <f ca="1" t="shared" si="27"/>
        <v>0.25/1.01</v>
      </c>
      <c r="AH5" s="26" t="str">
        <f>球探亚洲盘口数据录入!C20</f>
        <v>1.06</v>
      </c>
      <c r="AI5" s="26" t="str">
        <f>球探亚洲盘口数据录入!E20</f>
        <v>0.82</v>
      </c>
      <c r="AJ5" s="26" t="str">
        <f>FIXED(球探亚洲盘口数据录入!D20)</f>
        <v>0.25</v>
      </c>
      <c r="AK5" s="26" t="str">
        <f ca="1" t="shared" si="28"/>
        <v>1.06</v>
      </c>
      <c r="AL5" s="146" t="str">
        <f ca="1" t="shared" si="29"/>
        <v>0.25/1.06</v>
      </c>
      <c r="BB5" s="4">
        <f>IF(球探欧赔数据录入表!C8&gt;0,球探欧赔数据录入表!C8*AY$1,"")</f>
        <v>0.948394226390924</v>
      </c>
      <c r="BC5" s="4">
        <f>IF(球探欧赔数据录入表!D8&gt;0,球探欧赔数据录入表!D8*AZ$1,"")</f>
        <v>0.968695604345786</v>
      </c>
      <c r="BD5" s="4">
        <f>IF(球探欧赔数据录入表!E8&gt;0,球探欧赔数据录入表!E8*BA$1,"")</f>
        <v>0.923912769955427</v>
      </c>
    </row>
    <row r="6" ht="15.75" customHeight="1" spans="1:56">
      <c r="A6" s="26" t="s">
        <v>190</v>
      </c>
      <c r="B6" s="117">
        <f ca="1">VALUE(VLOOKUP($A6,球探欧赔数据录入表!$B$1:球探欧赔数据录入表!$P$400,2,FALSE))</f>
        <v>2.38000011444092</v>
      </c>
      <c r="C6" s="117">
        <f ca="1">VALUE(VLOOKUP($A6,球探欧赔数据录入表!$B$1:球探欧赔数据录入表!$P$400,3,FALSE))</f>
        <v>3.29999995231628</v>
      </c>
      <c r="D6" s="117">
        <f ca="1">VALUE(VLOOKUP($A6,球探欧赔数据录入表!$B$1:球探欧赔数据录入表!$P$400,4,FALSE))</f>
        <v>3</v>
      </c>
      <c r="E6" s="117">
        <f ca="1" t="shared" si="0"/>
        <v>0.420168047023354</v>
      </c>
      <c r="F6" s="117">
        <f ca="1" t="shared" si="1"/>
        <v>0.303030307408973</v>
      </c>
      <c r="G6" s="117">
        <f ca="1" t="shared" si="2"/>
        <v>0.333333333333333</v>
      </c>
      <c r="H6" s="117">
        <f ca="1" t="shared" si="3"/>
        <v>0.946493145051605</v>
      </c>
      <c r="I6" s="117">
        <f ca="1" t="shared" si="4"/>
        <v>0.397686176277325</v>
      </c>
      <c r="J6" s="117">
        <f ca="1" t="shared" si="5"/>
        <v>0.286816108705474</v>
      </c>
      <c r="K6" s="117">
        <f ca="1" t="shared" si="6"/>
        <v>0.315497715017202</v>
      </c>
      <c r="L6" s="119">
        <f ca="1" t="shared" si="7"/>
        <v>2.38000011444092</v>
      </c>
      <c r="M6" s="125">
        <f ca="1" t="shared" si="8"/>
        <v>0.397686176277325</v>
      </c>
      <c r="N6" s="125">
        <f ca="1" t="shared" si="9"/>
        <v>0.315497715017202</v>
      </c>
      <c r="O6" s="119">
        <f ca="1" t="shared" si="10"/>
        <v>0.260504141070062</v>
      </c>
      <c r="P6" s="119"/>
      <c r="Q6" s="128">
        <f ca="1" t="shared" si="11"/>
        <v>0.25</v>
      </c>
      <c r="R6" s="128">
        <f ca="1" t="shared" si="12"/>
        <v>0.25</v>
      </c>
      <c r="S6" s="129">
        <f ca="1" t="shared" si="13"/>
        <v>0.5</v>
      </c>
      <c r="T6" s="129">
        <f ca="1" t="shared" si="14"/>
        <v>0.5</v>
      </c>
      <c r="U6" s="129">
        <f ca="1" t="shared" si="15"/>
        <v>0.25</v>
      </c>
      <c r="V6" s="130">
        <f ca="1" t="shared" si="16"/>
        <v>0.75</v>
      </c>
      <c r="W6" s="130">
        <f ca="1" t="shared" si="17"/>
        <v>1</v>
      </c>
      <c r="X6" s="130">
        <f ca="1" t="shared" si="18"/>
        <v>1.1</v>
      </c>
      <c r="Y6" s="130">
        <f ca="1" t="shared" si="19"/>
        <v>0.25</v>
      </c>
      <c r="Z6" s="119">
        <f ca="1" t="shared" si="20"/>
        <v>1.1</v>
      </c>
      <c r="AA6" s="135">
        <f ca="1" t="shared" si="21"/>
        <v>1.08844544482293</v>
      </c>
      <c r="AB6" s="136">
        <f ca="1" t="shared" si="22"/>
        <v>0.25</v>
      </c>
      <c r="AC6" s="136" t="str">
        <f ca="1" t="shared" si="23"/>
        <v>1.09</v>
      </c>
      <c r="AD6" s="137">
        <f ca="1" t="shared" si="24"/>
        <v>0.25</v>
      </c>
      <c r="AE6" s="138">
        <f ca="1" t="shared" si="25"/>
        <v>0.25</v>
      </c>
      <c r="AF6" s="139" t="str">
        <f ca="1" t="shared" si="26"/>
        <v>0.25</v>
      </c>
      <c r="AG6" s="139" t="str">
        <f ca="1" t="shared" si="27"/>
        <v>0.25/1.09</v>
      </c>
      <c r="AH6" s="26" t="str">
        <f>球探亚洲盘口数据录入!C21</f>
        <v>1.03</v>
      </c>
      <c r="AI6" s="26" t="str">
        <f>球探亚洲盘口数据录入!E21</f>
        <v>0.84</v>
      </c>
      <c r="AJ6" s="26" t="str">
        <f>FIXED(球探亚洲盘口数据录入!D21)</f>
        <v>0.25</v>
      </c>
      <c r="AK6" s="26" t="str">
        <f ca="1" t="shared" si="28"/>
        <v>1.03</v>
      </c>
      <c r="AL6" s="146" t="str">
        <f ca="1" t="shared" si="29"/>
        <v>0.25/1.03</v>
      </c>
      <c r="BB6" s="4">
        <f>IF(球探欧赔数据录入表!C9&gt;0,球探欧赔数据录入表!C9*AY$1,"")</f>
        <v>0.940424439986989</v>
      </c>
      <c r="BC6" s="4">
        <f>IF(球探欧赔数据录入表!D9&gt;0,球探欧赔数据录入表!D9*AZ$1,"")</f>
        <v>0.939341219663275</v>
      </c>
      <c r="BD6" s="4">
        <f>IF(球探欧赔数据录入表!E9&gt;0,球探欧赔数据录入表!E9*BA$1,"")</f>
        <v>0.896195413290121</v>
      </c>
    </row>
    <row r="7" ht="15.75" customHeight="1" spans="1:56">
      <c r="A7" s="26" t="s">
        <v>198</v>
      </c>
      <c r="B7" s="117">
        <f ca="1">VALUE(VLOOKUP($A7,球探欧赔数据录入表!$B$1:球探欧赔数据录入表!$P$400,2,FALSE))</f>
        <v>2.27999997138977</v>
      </c>
      <c r="C7" s="117">
        <f ca="1">VALUE(VLOOKUP($A7,球探欧赔数据录入表!$B$1:球探欧赔数据录入表!$P$400,3,FALSE))</f>
        <v>3.20000004768372</v>
      </c>
      <c r="D7" s="117">
        <f ca="1">VALUE(VLOOKUP($A7,球探欧赔数据录入表!$B$1:球探欧赔数据录入表!$P$400,4,FALSE))</f>
        <v>2.90000009536743</v>
      </c>
      <c r="E7" s="117">
        <f ca="1" t="shared" si="0"/>
        <v>0.438596496731731</v>
      </c>
      <c r="F7" s="117">
        <f ca="1" t="shared" si="1"/>
        <v>0.312499995343387</v>
      </c>
      <c r="G7" s="117">
        <f ca="1" t="shared" si="2"/>
        <v>0.344827574867131</v>
      </c>
      <c r="H7" s="117">
        <f ca="1" t="shared" si="3"/>
        <v>0.912471976995735</v>
      </c>
      <c r="I7" s="117">
        <f ca="1" t="shared" si="4"/>
        <v>0.400207012476206</v>
      </c>
      <c r="J7" s="117">
        <f ca="1" t="shared" si="5"/>
        <v>0.285147488562138</v>
      </c>
      <c r="K7" s="117">
        <f ca="1" t="shared" si="6"/>
        <v>0.314645498961656</v>
      </c>
      <c r="L7" s="119">
        <f ca="1" t="shared" si="7"/>
        <v>2.27999997138977</v>
      </c>
      <c r="M7" s="125">
        <f ca="1" t="shared" si="8"/>
        <v>0.400207012476206</v>
      </c>
      <c r="N7" s="125">
        <f ca="1" t="shared" si="9"/>
        <v>0.314645498961656</v>
      </c>
      <c r="O7" s="119">
        <f ca="1" t="shared" si="10"/>
        <v>0.27192988234984</v>
      </c>
      <c r="P7" s="119"/>
      <c r="Q7" s="128">
        <f ca="1" t="shared" si="11"/>
        <v>0.25</v>
      </c>
      <c r="R7" s="128">
        <f ca="1" t="shared" si="12"/>
        <v>0.25</v>
      </c>
      <c r="S7" s="129">
        <f ca="1" t="shared" si="13"/>
        <v>0.5</v>
      </c>
      <c r="T7" s="129">
        <f ca="1" t="shared" si="14"/>
        <v>0.5</v>
      </c>
      <c r="U7" s="129">
        <f ca="1" t="shared" si="15"/>
        <v>0.25</v>
      </c>
      <c r="V7" s="130">
        <f ca="1" t="shared" si="16"/>
        <v>0.75</v>
      </c>
      <c r="W7" s="130">
        <f ca="1" t="shared" si="17"/>
        <v>1</v>
      </c>
      <c r="X7" s="130">
        <f ca="1" t="shared" si="18"/>
        <v>1.1</v>
      </c>
      <c r="Y7" s="130">
        <f ca="1" t="shared" si="19"/>
        <v>0.25</v>
      </c>
      <c r="Z7" s="119">
        <f ca="1" t="shared" si="20"/>
        <v>1.1</v>
      </c>
      <c r="AA7" s="135">
        <f ca="1" t="shared" si="21"/>
        <v>1.07587712941518</v>
      </c>
      <c r="AB7" s="136">
        <f ca="1" t="shared" si="22"/>
        <v>0.25</v>
      </c>
      <c r="AC7" s="136" t="str">
        <f ca="1" t="shared" si="23"/>
        <v>1.08</v>
      </c>
      <c r="AD7" s="137">
        <f ca="1" t="shared" si="24"/>
        <v>0.25</v>
      </c>
      <c r="AE7" s="138">
        <f ca="1" t="shared" si="25"/>
        <v>0.25</v>
      </c>
      <c r="AF7" s="139" t="str">
        <f ca="1" t="shared" si="26"/>
        <v>0.25</v>
      </c>
      <c r="AG7" s="139" t="str">
        <f ca="1" t="shared" si="27"/>
        <v>0.25/1.08</v>
      </c>
      <c r="AH7" s="26" t="str">
        <f>球探亚洲盘口数据录入!C22</f>
        <v>1.07</v>
      </c>
      <c r="AI7" s="26" t="str">
        <f>球探亚洲盘口数据录入!E22</f>
        <v>0.85</v>
      </c>
      <c r="AJ7" s="26" t="str">
        <f>FIXED(球探亚洲盘口数据录入!D22)</f>
        <v>0.25</v>
      </c>
      <c r="AK7" s="26" t="str">
        <f ca="1" t="shared" si="28"/>
        <v>1.07</v>
      </c>
      <c r="AL7" s="146" t="str">
        <f ca="1" t="shared" si="29"/>
        <v>0.25/1.07</v>
      </c>
      <c r="BB7" s="4">
        <f>IF(球探欧赔数据录入表!C10&gt;0,球探欧赔数据录入表!C10*AY$1,"")</f>
        <v>0.916515365793823</v>
      </c>
      <c r="BC7" s="4">
        <f>IF(球探欧赔数据录入表!D10&gt;0,球探欧赔数据录入表!D10*AZ$1,"")</f>
        <v>0.954018412004531</v>
      </c>
      <c r="BD7" s="4">
        <f>IF(球探欧赔数据录入表!E10&gt;0,球探欧赔数据录入表!E10*BA$1,"")</f>
        <v>0.923912769955427</v>
      </c>
    </row>
    <row r="8" ht="15.75" customHeight="1" spans="1:56">
      <c r="A8" s="26" t="s">
        <v>222</v>
      </c>
      <c r="B8" s="117" t="e">
        <f ca="1">VALUE(VLOOKUP($A8,球探欧赔数据录入表!$B$1:球探欧赔数据录入表!$P$400,2,FALSE))</f>
        <v>#N/A</v>
      </c>
      <c r="C8" s="117" t="e">
        <f ca="1">VALUE(VLOOKUP($A8,球探欧赔数据录入表!$B$1:球探欧赔数据录入表!$P$400,3,FALSE))</f>
        <v>#N/A</v>
      </c>
      <c r="D8" s="117" t="e">
        <f ca="1">VALUE(VLOOKUP($A8,球探欧赔数据录入表!$B$1:球探欧赔数据录入表!$P$400,4,FALSE))</f>
        <v>#N/A</v>
      </c>
      <c r="E8" s="117" t="e">
        <f ca="1" t="shared" si="0"/>
        <v>#N/A</v>
      </c>
      <c r="F8" s="117" t="e">
        <f ca="1" t="shared" si="1"/>
        <v>#N/A</v>
      </c>
      <c r="G8" s="117" t="e">
        <f ca="1" t="shared" si="2"/>
        <v>#N/A</v>
      </c>
      <c r="H8" s="117" t="e">
        <f ca="1" t="shared" si="3"/>
        <v>#N/A</v>
      </c>
      <c r="I8" s="117" t="e">
        <f ca="1" t="shared" si="4"/>
        <v>#N/A</v>
      </c>
      <c r="J8" s="117" t="e">
        <f ca="1" t="shared" si="5"/>
        <v>#N/A</v>
      </c>
      <c r="K8" s="117" t="e">
        <f ca="1" t="shared" si="6"/>
        <v>#N/A</v>
      </c>
      <c r="L8" s="119" t="e">
        <f ca="1" t="shared" si="7"/>
        <v>#N/A</v>
      </c>
      <c r="M8" s="125" t="e">
        <f ca="1" t="shared" si="8"/>
        <v>#N/A</v>
      </c>
      <c r="N8" s="125" t="e">
        <f ca="1" t="shared" si="9"/>
        <v>#N/A</v>
      </c>
      <c r="O8" s="119" t="e">
        <f ca="1" t="shared" si="10"/>
        <v>#N/A</v>
      </c>
      <c r="P8" s="119"/>
      <c r="Q8" s="128" t="e">
        <f ca="1" t="shared" si="11"/>
        <v>#N/A</v>
      </c>
      <c r="R8" s="128" t="e">
        <f ca="1" t="shared" si="12"/>
        <v>#N/A</v>
      </c>
      <c r="S8" s="129" t="e">
        <f ca="1" t="shared" si="13"/>
        <v>#N/A</v>
      </c>
      <c r="T8" s="129" t="e">
        <f ca="1" t="shared" si="14"/>
        <v>#N/A</v>
      </c>
      <c r="U8" s="129" t="e">
        <f ca="1" t="shared" si="15"/>
        <v>#N/A</v>
      </c>
      <c r="V8" s="130" t="e">
        <f ca="1" t="shared" si="16"/>
        <v>#N/A</v>
      </c>
      <c r="W8" s="130" t="e">
        <f ca="1" t="shared" si="17"/>
        <v>#N/A</v>
      </c>
      <c r="X8" s="130" t="e">
        <f ca="1" t="shared" si="18"/>
        <v>#N/A</v>
      </c>
      <c r="Y8" s="130" t="e">
        <f ca="1" t="shared" si="19"/>
        <v>#N/A</v>
      </c>
      <c r="Z8" s="119" t="e">
        <f ca="1" t="shared" si="20"/>
        <v>#N/A</v>
      </c>
      <c r="AA8" s="135" t="e">
        <f ca="1" t="shared" si="21"/>
        <v>#N/A</v>
      </c>
      <c r="AB8" s="136" t="e">
        <f ca="1" t="shared" si="22"/>
        <v>#N/A</v>
      </c>
      <c r="AC8" s="136" t="e">
        <f ca="1" t="shared" si="23"/>
        <v>#N/A</v>
      </c>
      <c r="AD8" s="137" t="e">
        <f ca="1" t="shared" si="24"/>
        <v>#N/A</v>
      </c>
      <c r="AE8" s="138" t="e">
        <f ca="1" t="shared" si="25"/>
        <v>#N/A</v>
      </c>
      <c r="AF8" s="139" t="e">
        <f ca="1" t="shared" si="26"/>
        <v>#N/A</v>
      </c>
      <c r="AG8" s="139" t="e">
        <f ca="1" t="shared" si="27"/>
        <v>#N/A</v>
      </c>
      <c r="AH8" s="26" t="str">
        <f>球探亚洲盘口数据录入!C23</f>
        <v>1.04</v>
      </c>
      <c r="AI8" s="26" t="str">
        <f>球探亚洲盘口数据录入!E23</f>
        <v>0.88</v>
      </c>
      <c r="AJ8" s="26" t="str">
        <f>FIXED(球探亚洲盘口数据录入!D23)</f>
        <v>0.25</v>
      </c>
      <c r="AK8" s="26" t="e">
        <f ca="1" t="shared" si="28"/>
        <v>#N/A</v>
      </c>
      <c r="AL8" s="146" t="e">
        <f ca="1" t="shared" si="29"/>
        <v>#N/A</v>
      </c>
      <c r="BB8" s="4">
        <f>IF(球探欧赔数据录入表!C11&gt;0,球探欧赔数据录入表!C11*AY$1,"")</f>
        <v>0.960348763487505</v>
      </c>
      <c r="BC8" s="4">
        <f>IF(球探欧赔数据录入表!D11&gt;0,球探欧赔数据录入表!D11*AZ$1,"")</f>
        <v>0.939341219663275</v>
      </c>
      <c r="BD8" s="4">
        <f>IF(球探欧赔数据录入表!E11&gt;0,球探欧赔数据录入表!E11*BA$1,"")</f>
        <v>0.954709832916879</v>
      </c>
    </row>
    <row r="9" ht="15.75" customHeight="1" spans="1:56">
      <c r="A9" s="118" t="s">
        <v>223</v>
      </c>
      <c r="B9" s="117" t="e">
        <f ca="1">VALUE(VLOOKUP($A9,球探欧赔数据录入表!$B$1:球探欧赔数据录入表!$P$400,2,FALSE))</f>
        <v>#N/A</v>
      </c>
      <c r="C9" s="117" t="e">
        <f ca="1">VALUE(VLOOKUP($A9,球探欧赔数据录入表!$B$1:球探欧赔数据录入表!$P$400,3,FALSE))</f>
        <v>#N/A</v>
      </c>
      <c r="D9" s="117" t="e">
        <f ca="1">VALUE(VLOOKUP($A9,球探欧赔数据录入表!$B$1:球探欧赔数据录入表!$P$400,4,FALSE))</f>
        <v>#N/A</v>
      </c>
      <c r="E9" s="117" t="e">
        <f ca="1" t="shared" si="0"/>
        <v>#N/A</v>
      </c>
      <c r="F9" s="117" t="e">
        <f ca="1" t="shared" si="1"/>
        <v>#N/A</v>
      </c>
      <c r="G9" s="117" t="e">
        <f ca="1" t="shared" si="2"/>
        <v>#N/A</v>
      </c>
      <c r="H9" s="117" t="e">
        <f ca="1" t="shared" si="3"/>
        <v>#N/A</v>
      </c>
      <c r="I9" s="117" t="e">
        <f ca="1" t="shared" si="4"/>
        <v>#N/A</v>
      </c>
      <c r="J9" s="117" t="e">
        <f ca="1" t="shared" si="5"/>
        <v>#N/A</v>
      </c>
      <c r="K9" s="117" t="e">
        <f ca="1" t="shared" si="6"/>
        <v>#N/A</v>
      </c>
      <c r="L9" s="119" t="e">
        <f ca="1" t="shared" si="7"/>
        <v>#N/A</v>
      </c>
      <c r="M9" s="125" t="e">
        <f ca="1" t="shared" si="8"/>
        <v>#N/A</v>
      </c>
      <c r="N9" s="125" t="e">
        <f ca="1" t="shared" si="9"/>
        <v>#N/A</v>
      </c>
      <c r="O9" s="119" t="e">
        <f ca="1" t="shared" si="10"/>
        <v>#N/A</v>
      </c>
      <c r="P9" s="119"/>
      <c r="Q9" s="128" t="e">
        <f ca="1" t="shared" si="11"/>
        <v>#N/A</v>
      </c>
      <c r="R9" s="128" t="e">
        <f ca="1" t="shared" si="12"/>
        <v>#N/A</v>
      </c>
      <c r="S9" s="129" t="e">
        <f ca="1" t="shared" si="13"/>
        <v>#N/A</v>
      </c>
      <c r="T9" s="129" t="e">
        <f ca="1" t="shared" si="14"/>
        <v>#N/A</v>
      </c>
      <c r="U9" s="129" t="e">
        <f ca="1" t="shared" si="15"/>
        <v>#N/A</v>
      </c>
      <c r="V9" s="130" t="e">
        <f ca="1" t="shared" si="16"/>
        <v>#N/A</v>
      </c>
      <c r="W9" s="130" t="e">
        <f ca="1" t="shared" si="17"/>
        <v>#N/A</v>
      </c>
      <c r="X9" s="130" t="e">
        <f ca="1" t="shared" si="18"/>
        <v>#N/A</v>
      </c>
      <c r="Y9" s="130" t="e">
        <f ca="1" t="shared" si="19"/>
        <v>#N/A</v>
      </c>
      <c r="Z9" s="119" t="e">
        <f ca="1" t="shared" si="20"/>
        <v>#N/A</v>
      </c>
      <c r="AA9" s="135" t="e">
        <f ca="1" t="shared" si="21"/>
        <v>#N/A</v>
      </c>
      <c r="AB9" s="136" t="e">
        <f ca="1" t="shared" si="22"/>
        <v>#N/A</v>
      </c>
      <c r="AC9" s="136" t="e">
        <f ca="1" t="shared" si="23"/>
        <v>#N/A</v>
      </c>
      <c r="AD9" s="137" t="e">
        <f ca="1" t="shared" si="24"/>
        <v>#N/A</v>
      </c>
      <c r="AE9" s="138" t="e">
        <f ca="1" t="shared" si="25"/>
        <v>#N/A</v>
      </c>
      <c r="AF9" s="139" t="e">
        <f ca="1" t="shared" si="26"/>
        <v>#N/A</v>
      </c>
      <c r="AG9" s="139" t="e">
        <f ca="1" t="shared" si="27"/>
        <v>#N/A</v>
      </c>
      <c r="AH9" s="26" t="str">
        <f>球探亚洲盘口数据录入!C24</f>
        <v>1.02</v>
      </c>
      <c r="AI9" s="26" t="str">
        <f>球探亚洲盘口数据录入!E24</f>
        <v>0.82</v>
      </c>
      <c r="AJ9" s="26" t="str">
        <f>FIXED(球探亚洲盘口数据录入!D24)</f>
        <v>0.25</v>
      </c>
      <c r="AK9" s="26" t="e">
        <f ca="1" t="shared" si="28"/>
        <v>#N/A</v>
      </c>
      <c r="AL9" s="146" t="e">
        <f ca="1" t="shared" si="29"/>
        <v>#N/A</v>
      </c>
      <c r="BB9" s="4">
        <f>IF(球探欧赔数据录入表!C12&gt;0,球探欧赔数据录入表!C12*AY$1,"")</f>
        <v>0.940424439986989</v>
      </c>
      <c r="BC9" s="4">
        <f>IF(球探欧赔数据录入表!D12&gt;0,球探欧赔数据录入表!D12*AZ$1,"")</f>
        <v>0.939341219663275</v>
      </c>
      <c r="BD9" s="4">
        <f>IF(球探欧赔数据录入表!E12&gt;0,球探欧赔数据录入表!E12*BA$1,"")</f>
        <v>0.896195413290121</v>
      </c>
    </row>
    <row r="10" ht="15.75" customHeight="1" spans="1:56">
      <c r="A10" s="26" t="s">
        <v>192</v>
      </c>
      <c r="B10" s="117">
        <f ca="1">VALUE(VLOOKUP($A10,球探欧赔数据录入表!$B$1:球探欧赔数据录入表!$P$400,2,FALSE))</f>
        <v>2.29999995231628</v>
      </c>
      <c r="C10" s="117">
        <f ca="1">VALUE(VLOOKUP($A10,球探欧赔数据录入表!$B$1:球探欧赔数据录入表!$P$400,3,FALSE))</f>
        <v>3.25</v>
      </c>
      <c r="D10" s="117">
        <f ca="1">VALUE(VLOOKUP($A10,球探欧赔数据录入表!$B$1:球探欧赔数据录入表!$P$400,4,FALSE))</f>
        <v>3</v>
      </c>
      <c r="E10" s="117">
        <f ca="1" t="shared" si="0"/>
        <v>0.434782617709588</v>
      </c>
      <c r="F10" s="117">
        <f ca="1" t="shared" si="1"/>
        <v>0.307692307692308</v>
      </c>
      <c r="G10" s="117">
        <f ca="1" t="shared" si="2"/>
        <v>0.333333333333333</v>
      </c>
      <c r="H10" s="117">
        <f ca="1" t="shared" si="3"/>
        <v>0.92953367096814</v>
      </c>
      <c r="I10" s="117">
        <f ca="1" t="shared" si="4"/>
        <v>0.404145082712731</v>
      </c>
      <c r="J10" s="117">
        <f ca="1" t="shared" si="5"/>
        <v>0.286010360297889</v>
      </c>
      <c r="K10" s="117">
        <f ca="1" t="shared" si="6"/>
        <v>0.30984455698938</v>
      </c>
      <c r="L10" s="119">
        <f ca="1" t="shared" si="7"/>
        <v>2.29999995231628</v>
      </c>
      <c r="M10" s="125">
        <f ca="1" t="shared" si="8"/>
        <v>0.404145082712731</v>
      </c>
      <c r="N10" s="125">
        <f ca="1" t="shared" si="9"/>
        <v>0.30984455698938</v>
      </c>
      <c r="O10" s="119">
        <f ca="1" t="shared" si="10"/>
        <v>0.304347853128764</v>
      </c>
      <c r="P10" s="119"/>
      <c r="Q10" s="128">
        <f ca="1" t="shared" si="11"/>
        <v>0.25</v>
      </c>
      <c r="R10" s="128">
        <f ca="1" t="shared" si="12"/>
        <v>0.25</v>
      </c>
      <c r="S10" s="129">
        <f ca="1" t="shared" si="13"/>
        <v>0.5</v>
      </c>
      <c r="T10" s="129">
        <f ca="1" t="shared" si="14"/>
        <v>0.5</v>
      </c>
      <c r="U10" s="129">
        <f ca="1" t="shared" si="15"/>
        <v>0.25</v>
      </c>
      <c r="V10" s="130">
        <f ca="1" t="shared" si="16"/>
        <v>0.75</v>
      </c>
      <c r="W10" s="130">
        <f ca="1" t="shared" si="17"/>
        <v>1</v>
      </c>
      <c r="X10" s="130">
        <f ca="1" t="shared" si="18"/>
        <v>1.1</v>
      </c>
      <c r="Y10" s="130">
        <f ca="1" t="shared" si="19"/>
        <v>0.25</v>
      </c>
      <c r="Z10" s="119">
        <f ca="1" t="shared" si="20"/>
        <v>1.1</v>
      </c>
      <c r="AA10" s="135">
        <f ca="1" t="shared" si="21"/>
        <v>1.04021736155836</v>
      </c>
      <c r="AB10" s="136">
        <f ca="1" t="shared" si="22"/>
        <v>0.25</v>
      </c>
      <c r="AC10" s="136" t="str">
        <f ca="1" t="shared" si="23"/>
        <v>1.04</v>
      </c>
      <c r="AD10" s="137">
        <f ca="1" t="shared" si="24"/>
        <v>0.25</v>
      </c>
      <c r="AE10" s="138">
        <f ca="1" t="shared" si="25"/>
        <v>0.25</v>
      </c>
      <c r="AF10" s="139" t="str">
        <f ca="1" t="shared" si="26"/>
        <v>0.25</v>
      </c>
      <c r="AG10" s="139" t="str">
        <f ca="1" t="shared" si="27"/>
        <v>0.25/1.04</v>
      </c>
      <c r="AH10" s="26" t="str">
        <f>球探亚洲盘口数据录入!C25</f>
        <v>1.06</v>
      </c>
      <c r="AI10" s="26" t="str">
        <f>球探亚洲盘口数据录入!E25</f>
        <v>0.85</v>
      </c>
      <c r="AJ10" s="26" t="str">
        <f>FIXED(球探亚洲盘口数据录入!D25)</f>
        <v>0.25</v>
      </c>
      <c r="AK10" s="26" t="str">
        <f ca="1" t="shared" si="28"/>
        <v>1.06</v>
      </c>
      <c r="AL10" s="146" t="str">
        <f ca="1" t="shared" si="29"/>
        <v>0.25/1.06</v>
      </c>
      <c r="BB10" s="4">
        <f>IF(球探欧赔数据录入表!C13&gt;0,球探欧赔数据录入表!C13*AY$1,"")</f>
        <v>0.952379072089782</v>
      </c>
      <c r="BC10" s="4">
        <f>IF(球探欧赔数据录入表!D13&gt;0,球探欧赔数据录入表!D13*AZ$1,"")</f>
        <v>0.89530957265313</v>
      </c>
      <c r="BD10" s="4">
        <f>IF(球探欧赔数据录入表!E13&gt;0,球探欧赔数据录入表!E13*BA$1,"")</f>
        <v>0.920833063659281</v>
      </c>
    </row>
    <row r="11" ht="15.75" customHeight="1" spans="1:56">
      <c r="A11" s="26" t="s">
        <v>224</v>
      </c>
      <c r="B11" s="117" t="e">
        <f ca="1">VALUE(VLOOKUP($A11,球探欧赔数据录入表!$B$1:球探欧赔数据录入表!$P$400,2,FALSE))</f>
        <v>#N/A</v>
      </c>
      <c r="C11" s="117" t="e">
        <f ca="1">VALUE(VLOOKUP($A11,球探欧赔数据录入表!$B$1:球探欧赔数据录入表!$P$400,3,FALSE))</f>
        <v>#N/A</v>
      </c>
      <c r="D11" s="117" t="e">
        <f ca="1">VALUE(VLOOKUP($A11,球探欧赔数据录入表!$B$1:球探欧赔数据录入表!$P$400,4,FALSE))</f>
        <v>#N/A</v>
      </c>
      <c r="E11" s="117" t="e">
        <f ca="1" t="shared" si="0"/>
        <v>#N/A</v>
      </c>
      <c r="F11" s="117" t="e">
        <f ca="1" t="shared" si="1"/>
        <v>#N/A</v>
      </c>
      <c r="G11" s="117" t="e">
        <f ca="1" t="shared" si="2"/>
        <v>#N/A</v>
      </c>
      <c r="H11" s="117" t="e">
        <f ca="1" t="shared" si="3"/>
        <v>#N/A</v>
      </c>
      <c r="I11" s="117" t="e">
        <f ca="1" t="shared" si="4"/>
        <v>#N/A</v>
      </c>
      <c r="J11" s="117" t="e">
        <f ca="1" t="shared" si="5"/>
        <v>#N/A</v>
      </c>
      <c r="K11" s="117" t="e">
        <f ca="1" t="shared" si="6"/>
        <v>#N/A</v>
      </c>
      <c r="L11" s="119" t="e">
        <f ca="1" t="shared" si="7"/>
        <v>#N/A</v>
      </c>
      <c r="M11" s="125" t="e">
        <f ca="1" t="shared" si="8"/>
        <v>#N/A</v>
      </c>
      <c r="N11" s="125" t="e">
        <f ca="1" t="shared" si="9"/>
        <v>#N/A</v>
      </c>
      <c r="O11" s="119" t="e">
        <f ca="1" t="shared" si="10"/>
        <v>#N/A</v>
      </c>
      <c r="P11" s="119"/>
      <c r="Q11" s="128" t="e">
        <f ca="1" t="shared" si="11"/>
        <v>#N/A</v>
      </c>
      <c r="R11" s="128" t="e">
        <f ca="1" t="shared" si="12"/>
        <v>#N/A</v>
      </c>
      <c r="S11" s="129" t="e">
        <f ca="1" t="shared" si="13"/>
        <v>#N/A</v>
      </c>
      <c r="T11" s="129" t="e">
        <f ca="1" t="shared" si="14"/>
        <v>#N/A</v>
      </c>
      <c r="U11" s="129" t="e">
        <f ca="1" t="shared" si="15"/>
        <v>#N/A</v>
      </c>
      <c r="V11" s="130" t="e">
        <f ca="1" t="shared" si="16"/>
        <v>#N/A</v>
      </c>
      <c r="W11" s="130" t="e">
        <f ca="1" t="shared" si="17"/>
        <v>#N/A</v>
      </c>
      <c r="X11" s="130" t="e">
        <f ca="1" t="shared" si="18"/>
        <v>#N/A</v>
      </c>
      <c r="Y11" s="130" t="e">
        <f ca="1" t="shared" si="19"/>
        <v>#N/A</v>
      </c>
      <c r="Z11" s="119" t="e">
        <f ca="1" t="shared" si="20"/>
        <v>#N/A</v>
      </c>
      <c r="AA11" s="135" t="e">
        <f ca="1" t="shared" si="21"/>
        <v>#N/A</v>
      </c>
      <c r="AB11" s="136" t="e">
        <f ca="1" t="shared" si="22"/>
        <v>#N/A</v>
      </c>
      <c r="AC11" s="136" t="e">
        <f ca="1" t="shared" si="23"/>
        <v>#N/A</v>
      </c>
      <c r="AD11" s="137" t="e">
        <f ca="1" t="shared" si="24"/>
        <v>#N/A</v>
      </c>
      <c r="AE11" s="138" t="e">
        <f ca="1" t="shared" si="25"/>
        <v>#N/A</v>
      </c>
      <c r="AF11" s="139" t="e">
        <f ca="1" t="shared" si="26"/>
        <v>#N/A</v>
      </c>
      <c r="AG11" s="139" t="e">
        <f ca="1" t="shared" si="27"/>
        <v>#N/A</v>
      </c>
      <c r="AH11" s="26" t="str">
        <f>球探亚洲盘口数据录入!C26</f>
        <v>0.97</v>
      </c>
      <c r="AI11" s="26" t="str">
        <f>球探亚洲盘口数据录入!E26</f>
        <v>0.93</v>
      </c>
      <c r="AJ11" s="26" t="str">
        <f>FIXED(球探亚洲盘口数据录入!D26)</f>
        <v>0.25</v>
      </c>
      <c r="AK11" s="26" t="e">
        <f ca="1" t="shared" si="28"/>
        <v>#N/A</v>
      </c>
      <c r="AL11" s="146" t="e">
        <f ca="1" t="shared" si="29"/>
        <v>#N/A</v>
      </c>
      <c r="BB11" s="4">
        <f>IF(球探欧赔数据录入表!C14&gt;0,球探欧赔数据录入表!C14*AY$1,"")</f>
        <v>0.960348763487505</v>
      </c>
      <c r="BC11" s="4">
        <f>IF(球探欧赔数据录入表!D14&gt;0,球探欧赔数据录入表!D14*AZ$1,"")</f>
        <v>0.939341219663275</v>
      </c>
      <c r="BD11" s="4">
        <f>IF(球探欧赔数据录入表!E14&gt;0,球探欧赔数据录入表!E14*BA$1,"")</f>
        <v>0.954709832916879</v>
      </c>
    </row>
    <row r="12" ht="15.75" customHeight="1" spans="1:56">
      <c r="A12" s="26" t="s">
        <v>194</v>
      </c>
      <c r="B12" s="117">
        <f ca="1">VALUE(VLOOKUP($A12,球探欧赔数据录入表!$B$1:球探欧赔数据录入表!$P$400,2,FALSE))</f>
        <v>2.35999989509583</v>
      </c>
      <c r="C12" s="117">
        <f ca="1">VALUE(VLOOKUP($A12,球探欧赔数据录入表!$B$1:球探欧赔数据录入表!$P$400,3,FALSE))</f>
        <v>3.20000004768372</v>
      </c>
      <c r="D12" s="117">
        <f ca="1">VALUE(VLOOKUP($A12,球探欧赔数据录入表!$B$1:球探欧赔数据录入表!$P$400,4,FALSE))</f>
        <v>2.91000008583069</v>
      </c>
      <c r="E12" s="117">
        <f ca="1" t="shared" si="0"/>
        <v>0.423728832394458</v>
      </c>
      <c r="F12" s="117">
        <f ca="1" t="shared" si="1"/>
        <v>0.312499995343387</v>
      </c>
      <c r="G12" s="117">
        <f ca="1" t="shared" si="2"/>
        <v>0.343642601548082</v>
      </c>
      <c r="H12" s="117">
        <f ca="1" t="shared" si="3"/>
        <v>0.926036167714204</v>
      </c>
      <c r="I12" s="117">
        <f ca="1" t="shared" si="4"/>
        <v>0.392388224100578</v>
      </c>
      <c r="J12" s="117">
        <f ca="1" t="shared" si="5"/>
        <v>0.289386298098497</v>
      </c>
      <c r="K12" s="117">
        <f ca="1" t="shared" si="6"/>
        <v>0.318225477800925</v>
      </c>
      <c r="L12" s="119">
        <f ca="1" t="shared" si="7"/>
        <v>2.35999989509583</v>
      </c>
      <c r="M12" s="125">
        <f ca="1" t="shared" si="8"/>
        <v>0.392388224100578</v>
      </c>
      <c r="N12" s="125">
        <f ca="1" t="shared" si="9"/>
        <v>0.318225477800925</v>
      </c>
      <c r="O12" s="119">
        <f ca="1" t="shared" si="10"/>
        <v>0.233050938636811</v>
      </c>
      <c r="P12" s="119"/>
      <c r="Q12" s="128">
        <f ca="1" t="shared" si="11"/>
        <v>0.25</v>
      </c>
      <c r="R12" s="128">
        <f ca="1" t="shared" si="12"/>
        <v>0</v>
      </c>
      <c r="S12" s="129">
        <f ca="1" t="shared" si="13"/>
        <v>0.25</v>
      </c>
      <c r="T12" s="129">
        <f ca="1" t="shared" si="14"/>
        <v>0.5</v>
      </c>
      <c r="U12" s="129">
        <f ca="1" t="shared" si="15"/>
        <v>0.25</v>
      </c>
      <c r="V12" s="130">
        <f ca="1" t="shared" si="16"/>
        <v>0.5</v>
      </c>
      <c r="W12" s="130">
        <f ca="1" t="shared" si="17"/>
        <v>0.75</v>
      </c>
      <c r="X12" s="130">
        <f ca="1" t="shared" si="18"/>
        <v>0.925</v>
      </c>
      <c r="Y12" s="130">
        <f ca="1" t="shared" si="19"/>
        <v>0.5</v>
      </c>
      <c r="Z12" s="119">
        <f ca="1" t="shared" si="20"/>
        <v>0.383333333333333</v>
      </c>
      <c r="AA12" s="135">
        <f ca="1" t="shared" si="21"/>
        <v>0.835663806855889</v>
      </c>
      <c r="AB12" s="136">
        <f ca="1" t="shared" si="22"/>
        <v>0.125</v>
      </c>
      <c r="AC12" s="136" t="str">
        <f ca="1" t="shared" si="23"/>
        <v>0.84</v>
      </c>
      <c r="AD12" s="137">
        <f ca="1" t="shared" si="24"/>
        <v>0.125</v>
      </c>
      <c r="AE12" s="138">
        <f ca="1" t="shared" si="25"/>
        <v>0.125</v>
      </c>
      <c r="AF12" s="139" t="str">
        <f ca="1" t="shared" si="26"/>
        <v>0.13</v>
      </c>
      <c r="AG12" s="139" t="str">
        <f ca="1" t="shared" si="27"/>
        <v>0.13/0.84</v>
      </c>
      <c r="AH12" s="26" t="str">
        <f>球探亚洲盘口数据录入!C27</f>
        <v>1.06</v>
      </c>
      <c r="AI12" s="26" t="str">
        <f>球探亚洲盘口数据录入!E27</f>
        <v>0.86</v>
      </c>
      <c r="AJ12" s="26" t="str">
        <f>FIXED(球探亚洲盘口数据录入!D27)</f>
        <v>0.25</v>
      </c>
      <c r="AK12" s="26" t="str">
        <f ca="1" t="shared" si="28"/>
        <v>1.06</v>
      </c>
      <c r="AL12" s="146" t="str">
        <f ca="1" t="shared" si="29"/>
        <v>0.25/1.06</v>
      </c>
      <c r="BB12" s="4">
        <f>IF(球探欧赔数据录入表!C15&gt;0,球探欧赔数据录入表!C15*AY$1,"")</f>
        <v>0.936439594288127</v>
      </c>
      <c r="BC12" s="4">
        <f>IF(球探欧赔数据录入表!D15&gt;0,球探欧赔数据录入表!D15*AZ$1,"")</f>
        <v>0.924664027322017</v>
      </c>
      <c r="BD12" s="4">
        <f>IF(球探欧赔数据录入表!E15&gt;0,球探欧赔数据录入表!E15*BA$1,"")</f>
        <v>0.954709832916879</v>
      </c>
    </row>
    <row r="13" ht="15.75" customHeight="1" spans="1:56">
      <c r="A13" s="26" t="s">
        <v>225</v>
      </c>
      <c r="B13" s="117" t="e">
        <f ca="1">VALUE(VLOOKUP($A13,球探欧赔数据录入表!$B$1:球探欧赔数据录入表!$P$400,2,FALSE))</f>
        <v>#N/A</v>
      </c>
      <c r="C13" s="117" t="e">
        <f ca="1">VALUE(VLOOKUP($A13,球探欧赔数据录入表!$B$1:球探欧赔数据录入表!$P$400,3,FALSE))</f>
        <v>#N/A</v>
      </c>
      <c r="D13" s="117" t="e">
        <f ca="1">VALUE(VLOOKUP($A13,球探欧赔数据录入表!$B$1:球探欧赔数据录入表!$P$400,4,FALSE))</f>
        <v>#N/A</v>
      </c>
      <c r="E13" s="117" t="e">
        <f ca="1" t="shared" si="0"/>
        <v>#N/A</v>
      </c>
      <c r="F13" s="117" t="e">
        <f ca="1" t="shared" si="1"/>
        <v>#N/A</v>
      </c>
      <c r="G13" s="117" t="e">
        <f ca="1" t="shared" si="2"/>
        <v>#N/A</v>
      </c>
      <c r="H13" s="117" t="e">
        <f ca="1" t="shared" si="3"/>
        <v>#N/A</v>
      </c>
      <c r="I13" s="117" t="e">
        <f ca="1" t="shared" si="4"/>
        <v>#N/A</v>
      </c>
      <c r="J13" s="117" t="e">
        <f ca="1" t="shared" si="5"/>
        <v>#N/A</v>
      </c>
      <c r="K13" s="117" t="e">
        <f ca="1" t="shared" si="6"/>
        <v>#N/A</v>
      </c>
      <c r="L13" s="119" t="e">
        <f ca="1" t="shared" si="7"/>
        <v>#N/A</v>
      </c>
      <c r="M13" s="125" t="e">
        <f ca="1" t="shared" si="8"/>
        <v>#N/A</v>
      </c>
      <c r="N13" s="125" t="e">
        <f ca="1" t="shared" si="9"/>
        <v>#N/A</v>
      </c>
      <c r="O13" s="119" t="e">
        <f ca="1" t="shared" si="10"/>
        <v>#N/A</v>
      </c>
      <c r="P13" s="119"/>
      <c r="Q13" s="128" t="e">
        <f ca="1" t="shared" si="11"/>
        <v>#N/A</v>
      </c>
      <c r="R13" s="128" t="e">
        <f ca="1" t="shared" si="12"/>
        <v>#N/A</v>
      </c>
      <c r="S13" s="129" t="e">
        <f ca="1" t="shared" si="13"/>
        <v>#N/A</v>
      </c>
      <c r="T13" s="129" t="e">
        <f ca="1" t="shared" si="14"/>
        <v>#N/A</v>
      </c>
      <c r="U13" s="129" t="e">
        <f ca="1" t="shared" si="15"/>
        <v>#N/A</v>
      </c>
      <c r="V13" s="130" t="e">
        <f ca="1" t="shared" si="16"/>
        <v>#N/A</v>
      </c>
      <c r="W13" s="130" t="e">
        <f ca="1" t="shared" si="17"/>
        <v>#N/A</v>
      </c>
      <c r="X13" s="130" t="e">
        <f ca="1" t="shared" si="18"/>
        <v>#N/A</v>
      </c>
      <c r="Y13" s="130" t="e">
        <f ca="1" t="shared" si="19"/>
        <v>#N/A</v>
      </c>
      <c r="Z13" s="119" t="e">
        <f ca="1" t="shared" si="20"/>
        <v>#N/A</v>
      </c>
      <c r="AA13" s="135" t="e">
        <f ca="1" t="shared" si="21"/>
        <v>#N/A</v>
      </c>
      <c r="AB13" s="136" t="e">
        <f ca="1" t="shared" si="22"/>
        <v>#N/A</v>
      </c>
      <c r="AC13" s="136" t="e">
        <f ca="1" t="shared" si="23"/>
        <v>#N/A</v>
      </c>
      <c r="AD13" s="137" t="e">
        <f ca="1" t="shared" si="24"/>
        <v>#N/A</v>
      </c>
      <c r="AE13" s="138" t="e">
        <f ca="1" t="shared" si="25"/>
        <v>#N/A</v>
      </c>
      <c r="AF13" s="139" t="e">
        <f ca="1" t="shared" si="26"/>
        <v>#N/A</v>
      </c>
      <c r="AG13" s="139" t="e">
        <f ca="1" t="shared" si="27"/>
        <v>#N/A</v>
      </c>
      <c r="AH13" s="26" t="str">
        <f>球探亚洲盘口数据录入!C28</f>
        <v>1.06</v>
      </c>
      <c r="AI13" s="26" t="str">
        <f>球探亚洲盘口数据录入!E28</f>
        <v>0.86</v>
      </c>
      <c r="AJ13" s="26" t="str">
        <f>FIXED(球探亚洲盘口数据录入!D28)</f>
        <v>0.25</v>
      </c>
      <c r="AK13" s="26" t="e">
        <f ca="1" t="shared" si="28"/>
        <v>#N/A</v>
      </c>
      <c r="AL13" s="146" t="e">
        <f ca="1" t="shared" si="29"/>
        <v>#N/A</v>
      </c>
      <c r="BB13" s="4">
        <f>IF(球探欧赔数据录入表!C16&gt;0,球探欧赔数据录入表!C16*AY$1,"")</f>
        <v>0.876666908805223</v>
      </c>
      <c r="BC13" s="4">
        <f>IF(球探欧赔数据录入表!D16&gt;0,球探欧赔数据录入表!D16*AZ$1,"")</f>
        <v>0.89530957265313</v>
      </c>
      <c r="BD13" s="4">
        <f>IF(球探欧赔数据录入表!E16&gt;0,球探欧赔数据录入表!E16*BA$1,"")</f>
        <v>0.954709832916879</v>
      </c>
    </row>
    <row r="14" ht="15.75" customHeight="1" spans="1:56">
      <c r="A14" s="26" t="s">
        <v>196</v>
      </c>
      <c r="B14" s="117">
        <f ca="1">VALUE(VLOOKUP($A14,球探欧赔数据录入表!$B$1:球探欧赔数据录入表!$P$400,2,FALSE))</f>
        <v>2.41000008583069</v>
      </c>
      <c r="C14" s="117">
        <f ca="1">VALUE(VLOOKUP($A14,球探欧赔数据录入表!$B$1:球探欧赔数据录入表!$P$400,3,FALSE))</f>
        <v>3.20000004768372</v>
      </c>
      <c r="D14" s="117">
        <f ca="1">VALUE(VLOOKUP($A14,球探欧赔数据录入表!$B$1:球探欧赔数据录入表!$P$400,4,FALSE))</f>
        <v>3.09999990463257</v>
      </c>
      <c r="E14" s="117">
        <f ca="1" t="shared" si="0"/>
        <v>0.414937744558343</v>
      </c>
      <c r="F14" s="117">
        <f ca="1" t="shared" si="1"/>
        <v>0.312499995343387</v>
      </c>
      <c r="G14" s="117">
        <f ca="1" t="shared" si="2"/>
        <v>0.322580655085061</v>
      </c>
      <c r="H14" s="117">
        <f ca="1" t="shared" si="3"/>
        <v>0.952364267877974</v>
      </c>
      <c r="I14" s="117">
        <f ca="1" t="shared" si="4"/>
        <v>0.395171881311244</v>
      </c>
      <c r="J14" s="117">
        <f ca="1" t="shared" si="5"/>
        <v>0.297613829277075</v>
      </c>
      <c r="K14" s="117">
        <f ca="1" t="shared" si="6"/>
        <v>0.307214289411681</v>
      </c>
      <c r="L14" s="119">
        <f ca="1" t="shared" si="7"/>
        <v>2.41000008583069</v>
      </c>
      <c r="M14" s="125">
        <f ca="1" t="shared" si="8"/>
        <v>0.395171881311244</v>
      </c>
      <c r="N14" s="125">
        <f ca="1" t="shared" si="9"/>
        <v>0.307214289411681</v>
      </c>
      <c r="O14" s="119">
        <f ca="1" t="shared" si="10"/>
        <v>0.286306968559318</v>
      </c>
      <c r="P14" s="119"/>
      <c r="Q14" s="128">
        <f ca="1" t="shared" si="11"/>
        <v>0.25</v>
      </c>
      <c r="R14" s="128">
        <f ca="1" t="shared" si="12"/>
        <v>0.25</v>
      </c>
      <c r="S14" s="129">
        <f ca="1" t="shared" si="13"/>
        <v>0.5</v>
      </c>
      <c r="T14" s="129">
        <f ca="1" t="shared" si="14"/>
        <v>0.5</v>
      </c>
      <c r="U14" s="129">
        <f ca="1" t="shared" si="15"/>
        <v>0.25</v>
      </c>
      <c r="V14" s="130">
        <f ca="1" t="shared" si="16"/>
        <v>0.75</v>
      </c>
      <c r="W14" s="130">
        <f ca="1" t="shared" si="17"/>
        <v>1</v>
      </c>
      <c r="X14" s="130">
        <f ca="1" t="shared" si="18"/>
        <v>1.1</v>
      </c>
      <c r="Y14" s="130">
        <f ca="1" t="shared" si="19"/>
        <v>0.25</v>
      </c>
      <c r="Z14" s="119">
        <f ca="1" t="shared" si="20"/>
        <v>1.1</v>
      </c>
      <c r="AA14" s="135">
        <f ca="1" t="shared" si="21"/>
        <v>1.06006233458475</v>
      </c>
      <c r="AB14" s="136">
        <f ca="1" t="shared" si="22"/>
        <v>0.25</v>
      </c>
      <c r="AC14" s="136" t="str">
        <f ca="1" t="shared" si="23"/>
        <v>1.06</v>
      </c>
      <c r="AD14" s="137">
        <f ca="1" t="shared" si="24"/>
        <v>0.25</v>
      </c>
      <c r="AE14" s="138">
        <f ca="1" t="shared" si="25"/>
        <v>0.25</v>
      </c>
      <c r="AF14" s="139" t="str">
        <f ca="1" t="shared" si="26"/>
        <v>0.25</v>
      </c>
      <c r="AG14" s="139" t="str">
        <f ca="1" t="shared" si="27"/>
        <v>0.25/1.06</v>
      </c>
      <c r="AH14" s="26" t="str">
        <f>球探亚洲盘口数据录入!C29</f>
        <v>1.08</v>
      </c>
      <c r="AI14" s="26" t="str">
        <f>球探亚洲盘口数据录入!E29</f>
        <v>0.83</v>
      </c>
      <c r="AJ14" s="26" t="str">
        <f>FIXED(球探亚洲盘口数据录入!D29)</f>
        <v>0.25</v>
      </c>
      <c r="AK14" s="26" t="str">
        <f ca="1" t="shared" si="28"/>
        <v>1.08</v>
      </c>
      <c r="AL14" s="146" t="str">
        <f ca="1" t="shared" si="29"/>
        <v>0.25/1.08</v>
      </c>
      <c r="BB14" s="4">
        <f>IF(球探欧赔数据录入表!C17&gt;0,球探欧赔数据录入表!C17*AY$1,"")</f>
        <v>0.908545674396104</v>
      </c>
      <c r="BC14" s="4">
        <f>IF(球探欧赔数据录入表!D17&gt;0,球探欧赔数据录入表!D17*AZ$1,"")</f>
        <v>0.939341219663275</v>
      </c>
      <c r="BD14" s="4">
        <f>IF(球探欧赔数据录入表!E17&gt;0,球探欧赔数据录入表!E17*BA$1,"")</f>
        <v>0.893115706993975</v>
      </c>
    </row>
    <row r="15" ht="15.75" customHeight="1" spans="1:56">
      <c r="A15" s="26"/>
      <c r="B15" s="119">
        <f>Sheet1!H94</f>
        <v>4.53086189327014</v>
      </c>
      <c r="C15" s="119">
        <f>Sheet1!I94</f>
        <v>3.12382493884787</v>
      </c>
      <c r="D15" s="119">
        <f>Sheet1!J94</f>
        <v>1.75436184843456</v>
      </c>
      <c r="E15" s="117">
        <f t="shared" si="0"/>
        <v>0.220708559112194</v>
      </c>
      <c r="F15" s="117">
        <f t="shared" si="1"/>
        <v>0.320120371524027</v>
      </c>
      <c r="G15" s="117">
        <f t="shared" si="2"/>
        <v>0.570007835551321</v>
      </c>
      <c r="H15" s="117">
        <f t="shared" si="3"/>
        <v>0.900222274269927</v>
      </c>
      <c r="I15" s="117">
        <f t="shared" si="4"/>
        <v>0.198686761034818</v>
      </c>
      <c r="J15" s="117">
        <f t="shared" si="5"/>
        <v>0.288179488893493</v>
      </c>
      <c r="K15" s="117">
        <f t="shared" si="6"/>
        <v>0.513133750071689</v>
      </c>
      <c r="L15" s="119">
        <f t="shared" si="7"/>
        <v>1.75436184843456</v>
      </c>
      <c r="M15" s="125">
        <f t="shared" si="8"/>
        <v>0.513133750071689</v>
      </c>
      <c r="N15" s="125">
        <f t="shared" si="9"/>
        <v>0.288179488893493</v>
      </c>
      <c r="O15" s="119">
        <f t="shared" si="10"/>
        <v>0.780604692033912</v>
      </c>
      <c r="P15" s="119"/>
      <c r="Q15" s="128">
        <f t="shared" si="11"/>
        <v>0.5</v>
      </c>
      <c r="R15" s="128">
        <f t="shared" si="12"/>
        <v>0.5</v>
      </c>
      <c r="S15" s="129">
        <f t="shared" si="13"/>
        <v>1</v>
      </c>
      <c r="T15" s="129">
        <f t="shared" si="14"/>
        <v>1</v>
      </c>
      <c r="U15" s="129">
        <f t="shared" si="15"/>
        <v>0</v>
      </c>
      <c r="V15" s="130">
        <f t="shared" si="16"/>
        <v>1</v>
      </c>
      <c r="W15" s="130">
        <f t="shared" si="17"/>
        <v>1.5</v>
      </c>
      <c r="X15" s="130">
        <f t="shared" si="18"/>
        <v>1.1</v>
      </c>
      <c r="Y15" s="130">
        <f t="shared" si="19"/>
        <v>0.5</v>
      </c>
      <c r="Z15" s="119">
        <f t="shared" si="20"/>
        <v>0.733333333333333</v>
      </c>
      <c r="AA15" s="135">
        <f t="shared" si="21"/>
        <v>0.894223225841798</v>
      </c>
      <c r="AB15" s="136">
        <f t="shared" si="22"/>
        <v>0.5</v>
      </c>
      <c r="AC15" s="136" t="str">
        <f t="shared" si="23"/>
        <v>0.89</v>
      </c>
      <c r="AD15" s="137">
        <f t="shared" si="24"/>
        <v>0.5</v>
      </c>
      <c r="AE15" s="138">
        <f t="shared" si="25"/>
        <v>-0.5</v>
      </c>
      <c r="AF15" s="139" t="str">
        <f t="shared" si="26"/>
        <v>-0.50</v>
      </c>
      <c r="AG15" s="139" t="str">
        <f t="shared" si="27"/>
        <v>-0.50/0.89</v>
      </c>
      <c r="AH15" s="26"/>
      <c r="AI15" s="26"/>
      <c r="AJ15" s="26"/>
      <c r="AK15" s="26"/>
      <c r="AL15" s="146"/>
      <c r="BB15" s="4">
        <f>IF(球探欧赔数据录入表!C18&gt;0,球探欧赔数据录入表!C18*AY$1,"")</f>
        <v>0.940424439986989</v>
      </c>
      <c r="BC15" s="4">
        <f>IF(球探欧赔数据录入表!D18&gt;0,球探欧赔数据录入表!D18*AZ$1,"")</f>
        <v>0.939341219663275</v>
      </c>
      <c r="BD15" s="4">
        <f>IF(球探欧赔数据录入表!E18&gt;0,球探欧赔数据录入表!E18*BA$1,"")</f>
        <v>0.896195413290121</v>
      </c>
    </row>
    <row r="16" ht="15.75" customHeight="1" spans="1:56">
      <c r="A16" s="26"/>
      <c r="B16" s="119">
        <f>Sheet1!H114</f>
        <v>2.1759420473898</v>
      </c>
      <c r="C16" s="119">
        <f>Sheet1!I114</f>
        <v>2.81971462463697</v>
      </c>
      <c r="D16" s="119">
        <f>Sheet1!J114</f>
        <v>3.37304866136951</v>
      </c>
      <c r="E16" s="117">
        <f t="shared" si="0"/>
        <v>0.45957106311704</v>
      </c>
      <c r="F16" s="117">
        <f t="shared" si="1"/>
        <v>0.354645818148617</v>
      </c>
      <c r="G16" s="117">
        <f t="shared" si="2"/>
        <v>0.296467706337205</v>
      </c>
      <c r="H16" s="117">
        <f t="shared" si="3"/>
        <v>0.90034561671397</v>
      </c>
      <c r="I16" s="117">
        <f t="shared" si="4"/>
        <v>0.413772792246006</v>
      </c>
      <c r="J16" s="117">
        <f t="shared" si="5"/>
        <v>0.319303807856047</v>
      </c>
      <c r="K16" s="117">
        <f t="shared" si="6"/>
        <v>0.266923399897947</v>
      </c>
      <c r="L16" s="119">
        <f t="shared" si="7"/>
        <v>2.1759420473898</v>
      </c>
      <c r="M16" s="125">
        <f t="shared" si="8"/>
        <v>0.413772792246006</v>
      </c>
      <c r="N16" s="125">
        <f t="shared" si="9"/>
        <v>0.319303807856047</v>
      </c>
      <c r="O16" s="119">
        <f t="shared" si="10"/>
        <v>0.295859247731077</v>
      </c>
      <c r="P16" s="119"/>
      <c r="Q16" s="128">
        <f t="shared" si="11"/>
        <v>0.25</v>
      </c>
      <c r="R16" s="128">
        <f t="shared" si="12"/>
        <v>0.25</v>
      </c>
      <c r="S16" s="129">
        <f t="shared" si="13"/>
        <v>0.5</v>
      </c>
      <c r="T16" s="129">
        <f t="shared" si="14"/>
        <v>0.5</v>
      </c>
      <c r="U16" s="129">
        <f t="shared" si="15"/>
        <v>0.25</v>
      </c>
      <c r="V16" s="130">
        <f t="shared" si="16"/>
        <v>0.75</v>
      </c>
      <c r="W16" s="130">
        <f t="shared" si="17"/>
        <v>1</v>
      </c>
      <c r="X16" s="130">
        <f t="shared" si="18"/>
        <v>1.1</v>
      </c>
      <c r="Y16" s="130">
        <f t="shared" si="19"/>
        <v>0.25</v>
      </c>
      <c r="Z16" s="119">
        <f t="shared" si="20"/>
        <v>1.1</v>
      </c>
      <c r="AA16" s="135">
        <f t="shared" si="21"/>
        <v>1.04955482749582</v>
      </c>
      <c r="AB16" s="136">
        <f t="shared" si="22"/>
        <v>0.25</v>
      </c>
      <c r="AC16" s="136" t="str">
        <f t="shared" si="23"/>
        <v>1.05</v>
      </c>
      <c r="AD16" s="137">
        <f t="shared" si="24"/>
        <v>0.25</v>
      </c>
      <c r="AE16" s="138">
        <f t="shared" si="25"/>
        <v>0.25</v>
      </c>
      <c r="AF16" s="139" t="str">
        <f t="shared" si="26"/>
        <v>0.25</v>
      </c>
      <c r="AG16" s="139" t="str">
        <f t="shared" si="27"/>
        <v>0.25/1.05</v>
      </c>
      <c r="BB16" s="4">
        <f>IF(球探欧赔数据录入表!C19&gt;0,球探欧赔数据录入表!C19*AY$1,"")</f>
        <v>0</v>
      </c>
      <c r="BC16" s="4">
        <f>IF(球探欧赔数据录入表!D19&gt;0,球探欧赔数据录入表!D19*AZ$1,"")</f>
        <v>0</v>
      </c>
      <c r="BD16" s="4">
        <f>IF(球探欧赔数据录入表!E19&gt;0,球探欧赔数据录入表!E19*BA$1,"")</f>
        <v>0</v>
      </c>
    </row>
    <row r="17" ht="15.75" customHeight="1" spans="1:56">
      <c r="A17" s="26"/>
      <c r="B17" s="119"/>
      <c r="C17" s="119"/>
      <c r="D17" s="119"/>
      <c r="E17" s="117" t="e">
        <f t="shared" si="0"/>
        <v>#DIV/0!</v>
      </c>
      <c r="F17" s="117" t="e">
        <f t="shared" si="1"/>
        <v>#DIV/0!</v>
      </c>
      <c r="G17" s="117" t="e">
        <f t="shared" si="2"/>
        <v>#DIV/0!</v>
      </c>
      <c r="H17" s="117" t="e">
        <f t="shared" si="3"/>
        <v>#DIV/0!</v>
      </c>
      <c r="I17" s="117" t="e">
        <f t="shared" si="4"/>
        <v>#DIV/0!</v>
      </c>
      <c r="J17" s="117" t="e">
        <f t="shared" si="5"/>
        <v>#DIV/0!</v>
      </c>
      <c r="K17" s="117" t="e">
        <f t="shared" si="6"/>
        <v>#DIV/0!</v>
      </c>
      <c r="L17" s="119">
        <f t="shared" si="7"/>
        <v>0</v>
      </c>
      <c r="M17" s="125" t="e">
        <f t="shared" si="8"/>
        <v>#DIV/0!</v>
      </c>
      <c r="N17" s="125" t="e">
        <f t="shared" si="9"/>
        <v>#DIV/0!</v>
      </c>
      <c r="O17" s="119" t="e">
        <f t="shared" si="10"/>
        <v>#DIV/0!</v>
      </c>
      <c r="P17" s="119"/>
      <c r="Q17" s="128" t="e">
        <f t="shared" si="11"/>
        <v>#DIV/0!</v>
      </c>
      <c r="R17" s="128" t="e">
        <f t="shared" si="12"/>
        <v>#DIV/0!</v>
      </c>
      <c r="S17" s="129" t="e">
        <f t="shared" si="13"/>
        <v>#DIV/0!</v>
      </c>
      <c r="T17" s="129" t="e">
        <f t="shared" si="14"/>
        <v>#DIV/0!</v>
      </c>
      <c r="U17" s="129" t="e">
        <f t="shared" si="15"/>
        <v>#DIV/0!</v>
      </c>
      <c r="V17" s="130" t="e">
        <f t="shared" si="16"/>
        <v>#DIV/0!</v>
      </c>
      <c r="W17" s="130" t="e">
        <f t="shared" si="17"/>
        <v>#DIV/0!</v>
      </c>
      <c r="X17" s="130" t="e">
        <f t="shared" si="18"/>
        <v>#DIV/0!</v>
      </c>
      <c r="Y17" s="130" t="e">
        <f t="shared" si="19"/>
        <v>#DIV/0!</v>
      </c>
      <c r="Z17" s="119" t="e">
        <f t="shared" si="20"/>
        <v>#DIV/0!</v>
      </c>
      <c r="AA17" s="135" t="e">
        <f t="shared" si="21"/>
        <v>#DIV/0!</v>
      </c>
      <c r="AB17" s="136" t="e">
        <f t="shared" si="22"/>
        <v>#DIV/0!</v>
      </c>
      <c r="AC17" s="136" t="e">
        <f t="shared" si="23"/>
        <v>#DIV/0!</v>
      </c>
      <c r="AD17" s="137" t="e">
        <f t="shared" si="24"/>
        <v>#DIV/0!</v>
      </c>
      <c r="AE17" s="138" t="e">
        <f t="shared" si="25"/>
        <v>#DIV/0!</v>
      </c>
      <c r="AF17" s="139" t="e">
        <f t="shared" si="26"/>
        <v>#DIV/0!</v>
      </c>
      <c r="AG17" s="139" t="e">
        <f t="shared" si="27"/>
        <v>#DIV/0!</v>
      </c>
      <c r="BB17" s="4">
        <f>IF(球探欧赔数据录入表!C20&gt;0,球探欧赔数据录入表!C20*AY$1,"")</f>
        <v>0</v>
      </c>
      <c r="BC17" s="4">
        <f>IF(球探欧赔数据录入表!D20&gt;0,球探欧赔数据录入表!D20*AZ$1,"")</f>
        <v>0</v>
      </c>
      <c r="BD17" s="4">
        <f>IF(球探欧赔数据录入表!E20&gt;0,球探欧赔数据录入表!E20*BA$1,"")</f>
        <v>0</v>
      </c>
    </row>
    <row r="18" ht="15.75" customHeight="1" spans="1:56">
      <c r="A18" s="26"/>
      <c r="B18" s="119">
        <f>数据汇总表!G4</f>
        <v>683.774730278865</v>
      </c>
      <c r="C18" s="119">
        <f>数据汇总表!H4</f>
        <v>6.80412079303991</v>
      </c>
      <c r="D18" s="119">
        <f>数据汇总表!I4</f>
        <v>1.07893884834466</v>
      </c>
      <c r="E18" s="117">
        <f t="shared" si="0"/>
        <v>0.00146246995643166</v>
      </c>
      <c r="F18" s="117">
        <f t="shared" si="1"/>
        <v>0.146969760005278</v>
      </c>
      <c r="G18" s="117">
        <f t="shared" si="2"/>
        <v>0.926836587202538</v>
      </c>
      <c r="H18" s="117">
        <f t="shared" si="3"/>
        <v>0.930000000034641</v>
      </c>
      <c r="I18" s="117">
        <f t="shared" si="4"/>
        <v>0.0013600970595321</v>
      </c>
      <c r="J18" s="117">
        <f t="shared" si="5"/>
        <v>0.13668187681</v>
      </c>
      <c r="K18" s="117">
        <f t="shared" si="6"/>
        <v>0.861958026130468</v>
      </c>
      <c r="L18" s="119">
        <f t="shared" si="7"/>
        <v>1.07893884834466</v>
      </c>
      <c r="M18" s="125">
        <f t="shared" si="8"/>
        <v>0.861958026130468</v>
      </c>
      <c r="N18" s="125">
        <f t="shared" si="9"/>
        <v>0.13668187681</v>
      </c>
      <c r="O18" s="119">
        <f t="shared" si="10"/>
        <v>5.30630809473494</v>
      </c>
      <c r="P18" s="119"/>
      <c r="Q18" s="128">
        <f t="shared" si="11"/>
        <v>0.5</v>
      </c>
      <c r="R18" s="128">
        <f t="shared" si="12"/>
        <v>5</v>
      </c>
      <c r="S18" s="129">
        <f t="shared" si="13"/>
        <v>5.5</v>
      </c>
      <c r="T18" s="129">
        <f t="shared" si="14"/>
        <v>5.5</v>
      </c>
      <c r="U18" s="129">
        <f t="shared" si="15"/>
        <v>0</v>
      </c>
      <c r="V18" s="130">
        <f t="shared" si="16"/>
        <v>5.5</v>
      </c>
      <c r="W18" s="130">
        <f t="shared" si="17"/>
        <v>6</v>
      </c>
      <c r="X18" s="130">
        <f t="shared" si="18"/>
        <v>1.1</v>
      </c>
      <c r="Y18" s="130">
        <f t="shared" si="19"/>
        <v>0.5</v>
      </c>
      <c r="Z18" s="119">
        <f t="shared" si="20"/>
        <v>0.183333333333333</v>
      </c>
      <c r="AA18" s="135">
        <f t="shared" si="21"/>
        <v>1.04384351596526</v>
      </c>
      <c r="AB18" s="136">
        <f t="shared" si="22"/>
        <v>2.75</v>
      </c>
      <c r="AC18" s="136" t="str">
        <f t="shared" si="23"/>
        <v>1.04</v>
      </c>
      <c r="AD18" s="137">
        <f t="shared" si="24"/>
        <v>2.75</v>
      </c>
      <c r="AE18" s="138">
        <f t="shared" si="25"/>
        <v>-2.75</v>
      </c>
      <c r="AF18" s="139" t="str">
        <f t="shared" si="26"/>
        <v>-2.75</v>
      </c>
      <c r="AG18" s="139" t="str">
        <f t="shared" si="27"/>
        <v>-2.75/1.04</v>
      </c>
      <c r="BB18" s="4">
        <f>IF(球探欧赔数据录入表!C21&gt;0,球探欧赔数据录入表!C21*AY$1,"")</f>
        <v>0</v>
      </c>
      <c r="BC18" s="4">
        <f>IF(球探欧赔数据录入表!D21&gt;0,球探欧赔数据录入表!D21*AZ$1,"")</f>
        <v>0</v>
      </c>
      <c r="BD18" s="4">
        <f>IF(球探欧赔数据录入表!E21&gt;0,球探欧赔数据录入表!E21*BA$1,"")</f>
        <v>0</v>
      </c>
    </row>
    <row r="19" ht="15.75" customHeight="1" spans="1:56">
      <c r="A19" s="26"/>
      <c r="B19" s="119">
        <f>数据汇总表!G5</f>
        <v>683.774730278865</v>
      </c>
      <c r="C19" s="119">
        <f>数据汇总表!H5</f>
        <v>6.80412079303991</v>
      </c>
      <c r="D19" s="119">
        <f>数据汇总表!I5</f>
        <v>1.07893884834466</v>
      </c>
      <c r="E19" s="117">
        <f t="shared" si="0"/>
        <v>0.00146246995643166</v>
      </c>
      <c r="F19" s="117">
        <f t="shared" si="1"/>
        <v>0.146969760005278</v>
      </c>
      <c r="G19" s="117">
        <f t="shared" si="2"/>
        <v>0.926836587202538</v>
      </c>
      <c r="H19" s="117">
        <f t="shared" si="3"/>
        <v>0.930000000034641</v>
      </c>
      <c r="I19" s="117">
        <f t="shared" si="4"/>
        <v>0.0013600970595321</v>
      </c>
      <c r="J19" s="117">
        <f t="shared" si="5"/>
        <v>0.13668187681</v>
      </c>
      <c r="K19" s="117">
        <f t="shared" si="6"/>
        <v>0.861958026130468</v>
      </c>
      <c r="L19" s="119">
        <f t="shared" si="7"/>
        <v>1.07893884834466</v>
      </c>
      <c r="M19" s="125">
        <f t="shared" si="8"/>
        <v>0.861958026130468</v>
      </c>
      <c r="N19" s="125">
        <f t="shared" si="9"/>
        <v>0.13668187681</v>
      </c>
      <c r="O19" s="119">
        <f t="shared" si="10"/>
        <v>5.30630809473494</v>
      </c>
      <c r="P19" s="119"/>
      <c r="Q19" s="128">
        <f t="shared" si="11"/>
        <v>0.5</v>
      </c>
      <c r="R19" s="128">
        <f t="shared" si="12"/>
        <v>5</v>
      </c>
      <c r="S19" s="129">
        <f t="shared" si="13"/>
        <v>5.5</v>
      </c>
      <c r="T19" s="129">
        <f t="shared" si="14"/>
        <v>5.5</v>
      </c>
      <c r="U19" s="129">
        <f t="shared" si="15"/>
        <v>0</v>
      </c>
      <c r="V19" s="130">
        <f t="shared" si="16"/>
        <v>5.5</v>
      </c>
      <c r="W19" s="130">
        <f t="shared" si="17"/>
        <v>6</v>
      </c>
      <c r="X19" s="130">
        <f t="shared" si="18"/>
        <v>1.1</v>
      </c>
      <c r="Y19" s="130">
        <f t="shared" si="19"/>
        <v>0.5</v>
      </c>
      <c r="Z19" s="119">
        <f t="shared" si="20"/>
        <v>0.183333333333333</v>
      </c>
      <c r="AA19" s="135">
        <f t="shared" si="21"/>
        <v>1.04384351596526</v>
      </c>
      <c r="AB19" s="136">
        <f t="shared" si="22"/>
        <v>2.75</v>
      </c>
      <c r="AC19" s="136" t="str">
        <f t="shared" si="23"/>
        <v>1.04</v>
      </c>
      <c r="AD19" s="137">
        <f t="shared" si="24"/>
        <v>2.75</v>
      </c>
      <c r="AE19" s="138">
        <f t="shared" si="25"/>
        <v>-2.75</v>
      </c>
      <c r="AF19" s="139" t="str">
        <f t="shared" si="26"/>
        <v>-2.75</v>
      </c>
      <c r="AG19" s="139" t="str">
        <f t="shared" si="27"/>
        <v>-2.75/1.04</v>
      </c>
      <c r="BB19" s="4">
        <f>IF(球探欧赔数据录入表!C22&gt;0,球探欧赔数据录入表!C22*AY$1,"")</f>
        <v>0</v>
      </c>
      <c r="BC19" s="4">
        <f>IF(球探欧赔数据录入表!D22&gt;0,球探欧赔数据录入表!D22*AZ$1,"")</f>
        <v>0</v>
      </c>
      <c r="BD19" s="4">
        <f>IF(球探欧赔数据录入表!E22&gt;0,球探欧赔数据录入表!E22*BA$1,"")</f>
        <v>0</v>
      </c>
    </row>
    <row r="20" ht="15.75" customHeight="1" spans="1:56">
      <c r="A20" s="26"/>
      <c r="B20" s="119">
        <f>数据汇总表!G7</f>
        <v>683.774730278865</v>
      </c>
      <c r="C20" s="119">
        <f>数据汇总表!H7</f>
        <v>6.80412079303991</v>
      </c>
      <c r="D20" s="119">
        <f>数据汇总表!I7</f>
        <v>1.07893884834466</v>
      </c>
      <c r="E20" s="117">
        <f t="shared" si="0"/>
        <v>0.00146246995643166</v>
      </c>
      <c r="F20" s="117">
        <f t="shared" si="1"/>
        <v>0.146969760005278</v>
      </c>
      <c r="G20" s="117">
        <f t="shared" si="2"/>
        <v>0.926836587202538</v>
      </c>
      <c r="H20" s="117">
        <f t="shared" si="3"/>
        <v>0.930000000034641</v>
      </c>
      <c r="I20" s="117">
        <f t="shared" si="4"/>
        <v>0.0013600970595321</v>
      </c>
      <c r="J20" s="117">
        <f t="shared" si="5"/>
        <v>0.13668187681</v>
      </c>
      <c r="K20" s="117">
        <f t="shared" si="6"/>
        <v>0.861958026130468</v>
      </c>
      <c r="L20" s="119">
        <f t="shared" si="7"/>
        <v>1.07893884834466</v>
      </c>
      <c r="M20" s="125">
        <f t="shared" si="8"/>
        <v>0.861958026130468</v>
      </c>
      <c r="N20" s="125">
        <f t="shared" si="9"/>
        <v>0.13668187681</v>
      </c>
      <c r="O20" s="119">
        <f t="shared" si="10"/>
        <v>5.30630809473494</v>
      </c>
      <c r="P20" s="119"/>
      <c r="Q20" s="128">
        <f t="shared" si="11"/>
        <v>0.5</v>
      </c>
      <c r="R20" s="128">
        <f t="shared" si="12"/>
        <v>5</v>
      </c>
      <c r="S20" s="129">
        <f t="shared" si="13"/>
        <v>5.5</v>
      </c>
      <c r="T20" s="129">
        <f t="shared" si="14"/>
        <v>5.5</v>
      </c>
      <c r="U20" s="129">
        <f t="shared" si="15"/>
        <v>0</v>
      </c>
      <c r="V20" s="130">
        <f t="shared" si="16"/>
        <v>5.5</v>
      </c>
      <c r="W20" s="130">
        <f t="shared" si="17"/>
        <v>6</v>
      </c>
      <c r="X20" s="130">
        <f t="shared" si="18"/>
        <v>1.1</v>
      </c>
      <c r="Y20" s="130">
        <f t="shared" si="19"/>
        <v>0.5</v>
      </c>
      <c r="Z20" s="119">
        <f t="shared" si="20"/>
        <v>0.183333333333333</v>
      </c>
      <c r="AA20" s="135">
        <f t="shared" si="21"/>
        <v>1.04384351596526</v>
      </c>
      <c r="AB20" s="136">
        <f t="shared" si="22"/>
        <v>2.75</v>
      </c>
      <c r="AC20" s="136" t="str">
        <f t="shared" si="23"/>
        <v>1.04</v>
      </c>
      <c r="AD20" s="137">
        <f t="shared" si="24"/>
        <v>2.75</v>
      </c>
      <c r="AE20" s="138">
        <f t="shared" si="25"/>
        <v>-2.75</v>
      </c>
      <c r="AF20" s="139" t="str">
        <f t="shared" si="26"/>
        <v>-2.75</v>
      </c>
      <c r="AG20" s="139" t="str">
        <f t="shared" si="27"/>
        <v>-2.75/1.04</v>
      </c>
      <c r="BB20" s="4">
        <f>IF(球探欧赔数据录入表!C23&gt;0,球探欧赔数据录入表!C23*AY$1,"")</f>
        <v>0</v>
      </c>
      <c r="BC20" s="4">
        <f>IF(球探欧赔数据录入表!D23&gt;0,球探欧赔数据录入表!D23*AZ$1,"")</f>
        <v>0</v>
      </c>
      <c r="BD20" s="4">
        <f>IF(球探欧赔数据录入表!E23&gt;0,球探欧赔数据录入表!E23*BA$1,"")</f>
        <v>0</v>
      </c>
    </row>
    <row r="21" ht="15.75" customHeight="1" spans="1:56">
      <c r="A21" s="26"/>
      <c r="B21" s="119"/>
      <c r="C21" s="119"/>
      <c r="D21" s="119"/>
      <c r="E21" s="117"/>
      <c r="F21" s="117"/>
      <c r="G21" s="117"/>
      <c r="H21" s="117"/>
      <c r="I21" s="117"/>
      <c r="J21" s="117"/>
      <c r="K21" s="117"/>
      <c r="L21" s="119"/>
      <c r="M21" s="125"/>
      <c r="N21" s="125"/>
      <c r="O21" s="119"/>
      <c r="P21" s="119"/>
      <c r="Q21" s="128"/>
      <c r="R21" s="128"/>
      <c r="S21" s="129"/>
      <c r="T21" s="129"/>
      <c r="U21" s="129"/>
      <c r="V21" s="130"/>
      <c r="W21" s="130"/>
      <c r="X21" s="130"/>
      <c r="Y21" s="130"/>
      <c r="Z21" s="119"/>
      <c r="AA21" s="135"/>
      <c r="AB21" s="136"/>
      <c r="AC21" s="136"/>
      <c r="AD21" s="137"/>
      <c r="AE21" s="138"/>
      <c r="AF21" s="139"/>
      <c r="AG21" s="139" t="str">
        <f t="shared" si="27"/>
        <v>/</v>
      </c>
      <c r="BB21" s="4">
        <f>IF(球探欧赔数据录入表!C24&gt;0,球探欧赔数据录入表!C24*AY$1,"")</f>
        <v>0</v>
      </c>
      <c r="BC21" s="4">
        <f>IF(球探欧赔数据录入表!D24&gt;0,球探欧赔数据录入表!D24*AZ$1,"")</f>
        <v>0</v>
      </c>
      <c r="BD21" s="4">
        <f>IF(球探欧赔数据录入表!E24&gt;0,球探欧赔数据录入表!E24*BA$1,"")</f>
        <v>0</v>
      </c>
    </row>
    <row r="22" ht="15.75" customHeight="1" spans="1:56">
      <c r="A22" s="120" t="s">
        <v>226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6"/>
      <c r="M22" s="127"/>
      <c r="N22" s="127"/>
      <c r="O22" s="126"/>
      <c r="P22" s="126" t="e">
        <f>#REF!+#REF!</f>
        <v>#REF!</v>
      </c>
      <c r="Q22" s="131"/>
      <c r="R22" s="131"/>
      <c r="S22" s="132"/>
      <c r="T22" s="132"/>
      <c r="U22" s="132"/>
      <c r="V22" s="133"/>
      <c r="W22" s="133"/>
      <c r="X22" s="133"/>
      <c r="Y22" s="133"/>
      <c r="Z22" s="126"/>
      <c r="AA22" s="140"/>
      <c r="AB22" s="141"/>
      <c r="AC22" s="141"/>
      <c r="AD22" s="142"/>
      <c r="AE22" s="143"/>
      <c r="AF22" s="144"/>
      <c r="AG22" s="139" t="str">
        <f t="shared" si="27"/>
        <v>/</v>
      </c>
      <c r="BB22" s="4">
        <f>IF(球探欧赔数据录入表!C25&gt;0,球探欧赔数据录入表!C25*AY$1,"")</f>
        <v>0</v>
      </c>
      <c r="BC22" s="4">
        <f>IF(球探欧赔数据录入表!D25&gt;0,球探欧赔数据录入表!D25*AZ$1,"")</f>
        <v>0</v>
      </c>
      <c r="BD22" s="4">
        <f>IF(球探欧赔数据录入表!E25&gt;0,球探欧赔数据录入表!E25*BA$1,"")</f>
        <v>0</v>
      </c>
    </row>
    <row r="23" ht="15.75" customHeight="1" spans="1:56">
      <c r="A23" s="122" t="s">
        <v>187</v>
      </c>
      <c r="B23" s="117">
        <f ca="1">VALUE(VLOOKUP($A23,球探欧赔数据录入表!$B$1:球探欧赔数据录入表!$P$400,5,FALSE))</f>
        <v>1.99000000953674</v>
      </c>
      <c r="C23" s="117">
        <f ca="1">VALUE(VLOOKUP($A23,球探欧赔数据录入表!$B$1:球探欧赔数据录入表!$P$400,6,FALSE))</f>
        <v>3.42692279815674</v>
      </c>
      <c r="D23" s="117">
        <f ca="1">VALUE(VLOOKUP($A23,球探欧赔数据录入表!$B$1:球探欧赔数据录入表!$P$400,7,FALSE))</f>
        <v>3.61538434028625</v>
      </c>
      <c r="E23" s="117">
        <f ca="1">1/B23</f>
        <v>0.502512560405863</v>
      </c>
      <c r="F23" s="117">
        <f ca="1">1/C23</f>
        <v>0.291806982210943</v>
      </c>
      <c r="G23" s="117">
        <f ca="1">1/D23</f>
        <v>0.27659576572731</v>
      </c>
      <c r="H23" s="117">
        <f ca="1">1/(E23+F23+G23)</f>
        <v>0.933780656797438</v>
      </c>
      <c r="I23" s="117">
        <f ca="1">$H23/B23</f>
        <v>0.469236508704749</v>
      </c>
      <c r="J23" s="117">
        <f ca="1">$H23/C23</f>
        <v>0.272483715507013</v>
      </c>
      <c r="K23" s="117">
        <f ca="1">$H23/D23</f>
        <v>0.258279775788238</v>
      </c>
      <c r="L23" s="119">
        <f ca="1">MIN(B23:D23)</f>
        <v>1.99000000953674</v>
      </c>
      <c r="M23" s="125">
        <f ca="1">MAX(I23:K23)</f>
        <v>0.469236508704749</v>
      </c>
      <c r="N23" s="125">
        <f ca="1">MEDIAN(I23:K23)</f>
        <v>0.272483715507013</v>
      </c>
      <c r="O23" s="125">
        <f ca="1">(M23-N23)/N23</f>
        <v>0.722071749614969</v>
      </c>
      <c r="P23" s="125" t="e">
        <f>#REF!+#REF!</f>
        <v>#REF!</v>
      </c>
      <c r="Q23" s="128">
        <f ca="1">IF(O23&lt;0.5,0.25,0.5)</f>
        <v>0.5</v>
      </c>
      <c r="R23" s="128">
        <f ca="1">FLOOR(O23,Q23)</f>
        <v>0.5</v>
      </c>
      <c r="S23" s="129">
        <f ca="1">Q23+R23</f>
        <v>1</v>
      </c>
      <c r="T23" s="129">
        <f ca="1">IF(S23&lt;1,0.5,S23)</f>
        <v>1</v>
      </c>
      <c r="U23" s="129">
        <f ca="1">IF(T23&lt;1,0.25,0)</f>
        <v>0</v>
      </c>
      <c r="V23" s="130">
        <f ca="1">S23+U23</f>
        <v>1</v>
      </c>
      <c r="W23" s="130">
        <f ca="1">V23+Q23</f>
        <v>1.5</v>
      </c>
      <c r="X23" s="130">
        <f ca="1">IF(S23=0.25,0.925,1.1)</f>
        <v>1.1</v>
      </c>
      <c r="Y23" s="130">
        <f ca="1">IF(V23=0.75,0.25,0.5)</f>
        <v>0.5</v>
      </c>
      <c r="Z23" s="119">
        <f ca="1">(X23-1.1*V23/W23)/Y23</f>
        <v>0.733333333333333</v>
      </c>
      <c r="AA23" s="135">
        <f ca="1">X23-(O23-R23)*Z23</f>
        <v>0.937147383615689</v>
      </c>
      <c r="AB23" s="136">
        <f ca="1">S23*0.5</f>
        <v>0.5</v>
      </c>
      <c r="AC23" s="136" t="str">
        <f ca="1">TEXT(AA23,"#,##0.00")</f>
        <v>0.94</v>
      </c>
      <c r="AD23" s="137">
        <f ca="1">AB23</f>
        <v>0.5</v>
      </c>
      <c r="AE23" s="138">
        <f ca="1">IF(L23=D23,-AD23,AD23)</f>
        <v>0.5</v>
      </c>
      <c r="AF23" s="139" t="str">
        <f ca="1">TEXT(AE23,"#,##0.00")</f>
        <v>0.50</v>
      </c>
      <c r="AG23" s="139" t="str">
        <f ca="1" t="shared" si="27"/>
        <v>0.50/0.94</v>
      </c>
      <c r="BB23" s="4">
        <f>IF(球探欧赔数据录入表!C26&gt;0,球探欧赔数据录入表!C26*AY$1,"")</f>
        <v>0</v>
      </c>
      <c r="BC23" s="4">
        <f>IF(球探欧赔数据录入表!D26&gt;0,球探欧赔数据录入表!D26*AZ$1,"")</f>
        <v>0</v>
      </c>
      <c r="BD23" s="4">
        <f>IF(球探欧赔数据录入表!E26&gt;0,球探欧赔数据录入表!E26*BA$1,"")</f>
        <v>0</v>
      </c>
    </row>
    <row r="24" spans="1:5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BB24" s="4">
        <f>IF(球探欧赔数据录入表!C27&gt;0,球探欧赔数据录入表!C27*AY$1,"")</f>
        <v>0</v>
      </c>
      <c r="BC24" s="4">
        <f>IF(球探欧赔数据录入表!D27&gt;0,球探欧赔数据录入表!D27*AZ$1,"")</f>
        <v>0</v>
      </c>
      <c r="BD24" s="4">
        <f>IF(球探欧赔数据录入表!E27&gt;0,球探欧赔数据录入表!E27*BA$1,"")</f>
        <v>0</v>
      </c>
    </row>
    <row r="25" spans="1:56">
      <c r="A25" s="4"/>
      <c r="B25" s="4"/>
      <c r="C25" s="4"/>
      <c r="D25" s="4"/>
      <c r="E25" s="4"/>
      <c r="F25" s="4"/>
      <c r="G25" s="4"/>
      <c r="BB25" s="4">
        <f>IF(球探欧赔数据录入表!C28&gt;0,球探欧赔数据录入表!C28*AY$1,"")</f>
        <v>0</v>
      </c>
      <c r="BC25" s="4">
        <f>IF(球探欧赔数据录入表!D28&gt;0,球探欧赔数据录入表!D28*AZ$1,"")</f>
        <v>0</v>
      </c>
      <c r="BD25" s="4">
        <f>IF(球探欧赔数据录入表!E28&gt;0,球探欧赔数据录入表!E28*BA$1,"")</f>
        <v>0</v>
      </c>
    </row>
    <row r="26" spans="1:56">
      <c r="A26" s="4"/>
      <c r="B26" s="4"/>
      <c r="C26" s="4"/>
      <c r="D26" s="4"/>
      <c r="E26" s="4"/>
      <c r="F26" s="4"/>
      <c r="G26" s="4"/>
      <c r="AG26" t="str">
        <f ca="1">CONCATENATE(AF2,"/",AC2)</f>
        <v>0.25/1.05</v>
      </c>
      <c r="BB26" s="4">
        <f>IF(球探欧赔数据录入表!C29&gt;0,球探欧赔数据录入表!C29*AY$1,"")</f>
        <v>0</v>
      </c>
      <c r="BC26" s="4">
        <f>IF(球探欧赔数据录入表!D29&gt;0,球探欧赔数据录入表!D29*AZ$1,"")</f>
        <v>0</v>
      </c>
      <c r="BD26" s="4">
        <f>IF(球探欧赔数据录入表!E29&gt;0,球探欧赔数据录入表!E29*BA$1,"")</f>
        <v>0</v>
      </c>
    </row>
    <row r="27" spans="1:56">
      <c r="A27" s="4"/>
      <c r="B27" s="4"/>
      <c r="C27" s="4"/>
      <c r="D27" s="4"/>
      <c r="E27" s="4"/>
      <c r="F27" s="4"/>
      <c r="G27" s="4"/>
      <c r="H27" s="123"/>
      <c r="I27" s="123"/>
      <c r="J27" s="123"/>
      <c r="K27" s="124"/>
      <c r="L27" s="124"/>
      <c r="M27" s="124"/>
      <c r="BB27" s="4">
        <f>IF(球探欧赔数据录入表!C30&gt;0,球探欧赔数据录入表!C30*AY$1,"")</f>
        <v>0</v>
      </c>
      <c r="BC27" s="4">
        <f>IF(球探欧赔数据录入表!D30&gt;0,球探欧赔数据录入表!D30*AZ$1,"")</f>
        <v>0</v>
      </c>
      <c r="BD27" s="4">
        <f>IF(球探欧赔数据录入表!E30&gt;0,球探欧赔数据录入表!E30*BA$1,"")</f>
        <v>0</v>
      </c>
    </row>
    <row r="28" spans="1:56">
      <c r="A28" s="4"/>
      <c r="B28" s="4"/>
      <c r="C28" s="4"/>
      <c r="D28" s="4"/>
      <c r="E28" s="4"/>
      <c r="F28" s="4"/>
      <c r="G28" s="4"/>
      <c r="H28" s="124"/>
      <c r="I28" s="124"/>
      <c r="J28" s="124"/>
      <c r="K28" s="124"/>
      <c r="BB28" s="4">
        <f>IF(球探欧赔数据录入表!C31&gt;0,球探欧赔数据录入表!C31*AY$1,"")</f>
        <v>0</v>
      </c>
      <c r="BC28" s="4">
        <f>IF(球探欧赔数据录入表!D31&gt;0,球探欧赔数据录入表!D31*AZ$1,"")</f>
        <v>0</v>
      </c>
      <c r="BD28" s="4">
        <f>IF(球探欧赔数据录入表!E31&gt;0,球探欧赔数据录入表!E31*BA$1,"")</f>
        <v>0</v>
      </c>
    </row>
    <row r="29" spans="1:56">
      <c r="A29" s="4"/>
      <c r="B29" s="4"/>
      <c r="C29" s="4"/>
      <c r="D29" s="4"/>
      <c r="E29" s="4"/>
      <c r="F29" s="4"/>
      <c r="G29" s="4"/>
      <c r="BB29" s="4">
        <f>IF(球探欧赔数据录入表!C32&gt;0,球探欧赔数据录入表!C32*AY$1,"")</f>
        <v>0</v>
      </c>
      <c r="BC29" s="4">
        <f>IF(球探欧赔数据录入表!D32&gt;0,球探欧赔数据录入表!D32*AZ$1,"")</f>
        <v>0</v>
      </c>
      <c r="BD29" s="4">
        <f>IF(球探欧赔数据录入表!E32&gt;0,球探欧赔数据录入表!E32*BA$1,"")</f>
        <v>0</v>
      </c>
    </row>
    <row r="30" spans="1:56">
      <c r="A30" s="4"/>
      <c r="B30" s="4"/>
      <c r="C30" s="4"/>
      <c r="D30" s="4"/>
      <c r="E30" s="4"/>
      <c r="F30" s="4"/>
      <c r="G30" s="4"/>
      <c r="BB30" s="4">
        <f>IF(球探欧赔数据录入表!C33&gt;0,球探欧赔数据录入表!C33*AY$1,"")</f>
        <v>0</v>
      </c>
      <c r="BC30" s="4">
        <f>IF(球探欧赔数据录入表!D33&gt;0,球探欧赔数据录入表!D33*AZ$1,"")</f>
        <v>0</v>
      </c>
      <c r="BD30" s="4">
        <f>IF(球探欧赔数据录入表!E33&gt;0,球探欧赔数据录入表!E33*BA$1,"")</f>
        <v>0</v>
      </c>
    </row>
    <row r="31" spans="54:56">
      <c r="BB31" s="4">
        <f>IF(球探欧赔数据录入表!C34&gt;0,球探欧赔数据录入表!C34*AY$1,"")</f>
        <v>0</v>
      </c>
      <c r="BC31" s="4">
        <f>IF(球探欧赔数据录入表!D34&gt;0,球探欧赔数据录入表!D34*AZ$1,"")</f>
        <v>0</v>
      </c>
      <c r="BD31" s="4">
        <f>IF(球探欧赔数据录入表!E34&gt;0,球探欧赔数据录入表!E34*BA$1,"")</f>
        <v>0</v>
      </c>
    </row>
    <row r="32" spans="54:56">
      <c r="BB32" s="4">
        <f>IF(球探欧赔数据录入表!C35&gt;0,球探欧赔数据录入表!C35*AY$1,"")</f>
        <v>0</v>
      </c>
      <c r="BC32" s="4">
        <f>IF(球探欧赔数据录入表!D35&gt;0,球探欧赔数据录入表!D35*AZ$1,"")</f>
        <v>0</v>
      </c>
      <c r="BD32" s="4">
        <f>IF(球探欧赔数据录入表!E35&gt;0,球探欧赔数据录入表!E35*BA$1,"")</f>
        <v>0</v>
      </c>
    </row>
    <row r="33" spans="54:56">
      <c r="BB33" s="4">
        <f>IF(球探欧赔数据录入表!C36&gt;0,球探欧赔数据录入表!C36*AY$1,"")</f>
        <v>0</v>
      </c>
      <c r="BC33" s="4">
        <f>IF(球探欧赔数据录入表!D36&gt;0,球探欧赔数据录入表!D36*AZ$1,"")</f>
        <v>0</v>
      </c>
      <c r="BD33" s="4">
        <f>IF(球探欧赔数据录入表!E36&gt;0,球探欧赔数据录入表!E36*BA$1,"")</f>
        <v>0</v>
      </c>
    </row>
    <row r="34" spans="54:56">
      <c r="BB34" s="4">
        <f>IF(球探欧赔数据录入表!C37&gt;0,球探欧赔数据录入表!C37*AY$1,"")</f>
        <v>0</v>
      </c>
      <c r="BC34" s="4">
        <f>IF(球探欧赔数据录入表!D37&gt;0,球探欧赔数据录入表!D37*AZ$1,"")</f>
        <v>0</v>
      </c>
      <c r="BD34" s="4">
        <f>IF(球探欧赔数据录入表!E37&gt;0,球探欧赔数据录入表!E37*BA$1,"")</f>
        <v>0</v>
      </c>
    </row>
    <row r="35" spans="54:56">
      <c r="BB35" s="4">
        <f>IF(球探欧赔数据录入表!C38&gt;0,球探欧赔数据录入表!C38*AY$1,"")</f>
        <v>0</v>
      </c>
      <c r="BC35" s="4">
        <f>IF(球探欧赔数据录入表!D38&gt;0,球探欧赔数据录入表!D38*AZ$1,"")</f>
        <v>0</v>
      </c>
      <c r="BD35" s="4">
        <f>IF(球探欧赔数据录入表!E38&gt;0,球探欧赔数据录入表!E38*BA$1,"")</f>
        <v>0</v>
      </c>
    </row>
    <row r="36" spans="54:56">
      <c r="BB36" s="4">
        <f>IF(球探欧赔数据录入表!C39&gt;0,球探欧赔数据录入表!C39*AY$1,"")</f>
        <v>0</v>
      </c>
      <c r="BC36" s="4">
        <f>IF(球探欧赔数据录入表!D39&gt;0,球探欧赔数据录入表!D39*AZ$1,"")</f>
        <v>0</v>
      </c>
      <c r="BD36" s="4">
        <f>IF(球探欧赔数据录入表!E39&gt;0,球探欧赔数据录入表!E39*BA$1,"")</f>
        <v>0</v>
      </c>
    </row>
    <row r="37" spans="54:56">
      <c r="BB37" s="4">
        <f>IF(球探欧赔数据录入表!C40&gt;0,球探欧赔数据录入表!C40*AY$1,"")</f>
        <v>0</v>
      </c>
      <c r="BC37" s="4">
        <f>IF(球探欧赔数据录入表!D40&gt;0,球探欧赔数据录入表!D40*AZ$1,"")</f>
        <v>0</v>
      </c>
      <c r="BD37" s="4">
        <f>IF(球探欧赔数据录入表!E40&gt;0,球探欧赔数据录入表!E40*BA$1,"")</f>
        <v>0</v>
      </c>
    </row>
    <row r="38" spans="54:56">
      <c r="BB38" s="4">
        <f>IF(球探欧赔数据录入表!C41&gt;0,球探欧赔数据录入表!C41*AY$1,"")</f>
        <v>0</v>
      </c>
      <c r="BC38" s="4">
        <f>IF(球探欧赔数据录入表!D41&gt;0,球探欧赔数据录入表!D41*AZ$1,"")</f>
        <v>0</v>
      </c>
      <c r="BD38" s="4">
        <f>IF(球探欧赔数据录入表!E41&gt;0,球探欧赔数据录入表!E41*BA$1,"")</f>
        <v>0</v>
      </c>
    </row>
    <row r="39" spans="54:56">
      <c r="BB39" s="4">
        <f>IF(球探欧赔数据录入表!C42&gt;0,球探欧赔数据录入表!C42*AY$1,"")</f>
        <v>0</v>
      </c>
      <c r="BC39" s="4">
        <f>IF(球探欧赔数据录入表!D42&gt;0,球探欧赔数据录入表!D42*AZ$1,"")</f>
        <v>0</v>
      </c>
      <c r="BD39" s="4">
        <f>IF(球探欧赔数据录入表!E42&gt;0,球探欧赔数据录入表!E42*BA$1,"")</f>
        <v>0</v>
      </c>
    </row>
    <row r="40" spans="54:56">
      <c r="BB40" s="4">
        <f>IF(球探欧赔数据录入表!C43&gt;0,球探欧赔数据录入表!C43*AY$1,"")</f>
        <v>0</v>
      </c>
      <c r="BC40" s="4">
        <f>IF(球探欧赔数据录入表!D43&gt;0,球探欧赔数据录入表!D43*AZ$1,"")</f>
        <v>0</v>
      </c>
      <c r="BD40" s="4">
        <f>IF(球探欧赔数据录入表!E43&gt;0,球探欧赔数据录入表!E43*BA$1,"")</f>
        <v>0</v>
      </c>
    </row>
    <row r="41" spans="54:56">
      <c r="BB41" s="4">
        <f>IF(球探欧赔数据录入表!C44&gt;0,球探欧赔数据录入表!C44*AY$1,"")</f>
        <v>0</v>
      </c>
      <c r="BC41" s="4">
        <f>IF(球探欧赔数据录入表!D44&gt;0,球探欧赔数据录入表!D44*AZ$1,"")</f>
        <v>0</v>
      </c>
      <c r="BD41" s="4">
        <f>IF(球探欧赔数据录入表!E44&gt;0,球探欧赔数据录入表!E44*BA$1,"")</f>
        <v>0</v>
      </c>
    </row>
    <row r="42" spans="54:56">
      <c r="BB42" s="4">
        <f>IF(球探欧赔数据录入表!C45&gt;0,球探欧赔数据录入表!C45*AY$1,"")</f>
        <v>0</v>
      </c>
      <c r="BC42" s="4">
        <f>IF(球探欧赔数据录入表!D45&gt;0,球探欧赔数据录入表!D45*AZ$1,"")</f>
        <v>0</v>
      </c>
      <c r="BD42" s="4">
        <f>IF(球探欧赔数据录入表!E45&gt;0,球探欧赔数据录入表!E45*BA$1,"")</f>
        <v>0</v>
      </c>
    </row>
    <row r="43" spans="54:56">
      <c r="BB43" s="4">
        <f>IF(球探欧赔数据录入表!C46&gt;0,球探欧赔数据录入表!C46*AY$1,"")</f>
        <v>0</v>
      </c>
      <c r="BC43" s="4">
        <f>IF(球探欧赔数据录入表!D46&gt;0,球探欧赔数据录入表!D46*AZ$1,"")</f>
        <v>0</v>
      </c>
      <c r="BD43" s="4">
        <f>IF(球探欧赔数据录入表!E46&gt;0,球探欧赔数据录入表!E46*BA$1,"")</f>
        <v>0</v>
      </c>
    </row>
    <row r="44" spans="54:56">
      <c r="BB44" s="4">
        <f>IF(球探欧赔数据录入表!C47&gt;0,球探欧赔数据录入表!C47*AY$1,"")</f>
        <v>0</v>
      </c>
      <c r="BC44" s="4">
        <f>IF(球探欧赔数据录入表!D47&gt;0,球探欧赔数据录入表!D47*AZ$1,"")</f>
        <v>0</v>
      </c>
      <c r="BD44" s="4">
        <f>IF(球探欧赔数据录入表!E47&gt;0,球探欧赔数据录入表!E47*BA$1,"")</f>
        <v>0</v>
      </c>
    </row>
    <row r="45" spans="54:56">
      <c r="BB45" s="4">
        <f>IF(球探欧赔数据录入表!C48&gt;0,球探欧赔数据录入表!C48*AY$1,"")</f>
        <v>0</v>
      </c>
      <c r="BC45" s="4">
        <f>IF(球探欧赔数据录入表!D48&gt;0,球探欧赔数据录入表!D48*AZ$1,"")</f>
        <v>0</v>
      </c>
      <c r="BD45" s="4">
        <f>IF(球探欧赔数据录入表!E48&gt;0,球探欧赔数据录入表!E48*BA$1,"")</f>
        <v>0</v>
      </c>
    </row>
    <row r="46" spans="54:56">
      <c r="BB46" s="4">
        <f>IF(球探欧赔数据录入表!C49&gt;0,球探欧赔数据录入表!C49*AY$1,"")</f>
        <v>0</v>
      </c>
      <c r="BC46" s="4">
        <f>IF(球探欧赔数据录入表!D49&gt;0,球探欧赔数据录入表!D49*AZ$1,"")</f>
        <v>0</v>
      </c>
      <c r="BD46" s="4">
        <f>IF(球探欧赔数据录入表!E49&gt;0,球探欧赔数据录入表!E49*BA$1,"")</f>
        <v>0</v>
      </c>
    </row>
    <row r="47" spans="54:56">
      <c r="BB47" s="4">
        <f>IF(球探欧赔数据录入表!C50&gt;0,球探欧赔数据录入表!C50*AY$1,"")</f>
        <v>0</v>
      </c>
      <c r="BC47" s="4">
        <f>IF(球探欧赔数据录入表!D50&gt;0,球探欧赔数据录入表!D50*AZ$1,"")</f>
        <v>0</v>
      </c>
      <c r="BD47" s="4">
        <f>IF(球探欧赔数据录入表!E50&gt;0,球探欧赔数据录入表!E50*BA$1,"")</f>
        <v>0</v>
      </c>
    </row>
    <row r="48" spans="54:56">
      <c r="BB48" s="4">
        <f>IF(球探欧赔数据录入表!C51&gt;0,球探欧赔数据录入表!C51*AY$1,"")</f>
        <v>0</v>
      </c>
      <c r="BC48" s="4">
        <f>IF(球探欧赔数据录入表!D51&gt;0,球探欧赔数据录入表!D51*AZ$1,"")</f>
        <v>0</v>
      </c>
      <c r="BD48" s="4">
        <f>IF(球探欧赔数据录入表!E51&gt;0,球探欧赔数据录入表!E51*BA$1,"")</f>
        <v>0</v>
      </c>
    </row>
    <row r="49" spans="54:56">
      <c r="BB49" s="4">
        <f>IF(球探欧赔数据录入表!C52&gt;0,球探欧赔数据录入表!C52*AY$1,"")</f>
        <v>0</v>
      </c>
      <c r="BC49" s="4">
        <f>IF(球探欧赔数据录入表!D52&gt;0,球探欧赔数据录入表!D52*AZ$1,"")</f>
        <v>0</v>
      </c>
      <c r="BD49" s="4">
        <f>IF(球探欧赔数据录入表!E52&gt;0,球探欧赔数据录入表!E52*BA$1,"")</f>
        <v>0</v>
      </c>
    </row>
    <row r="50" spans="54:56">
      <c r="BB50" s="4">
        <f>IF(球探欧赔数据录入表!C53&gt;0,球探欧赔数据录入表!C53*AY$1,"")</f>
        <v>0</v>
      </c>
      <c r="BC50" s="4">
        <f>IF(球探欧赔数据录入表!D53&gt;0,球探欧赔数据录入表!D53*AZ$1,"")</f>
        <v>0</v>
      </c>
      <c r="BD50" s="4">
        <f>IF(球探欧赔数据录入表!E53&gt;0,球探欧赔数据录入表!E53*BA$1,"")</f>
        <v>0</v>
      </c>
    </row>
    <row r="51" spans="54:56">
      <c r="BB51" s="4">
        <f>IF(球探欧赔数据录入表!C54&gt;0,球探欧赔数据录入表!C54*AY$1,"")</f>
        <v>0</v>
      </c>
      <c r="BC51" s="4">
        <f>IF(球探欧赔数据录入表!D54&gt;0,球探欧赔数据录入表!D54*AZ$1,"")</f>
        <v>0</v>
      </c>
      <c r="BD51" s="4">
        <f>IF(球探欧赔数据录入表!E54&gt;0,球探欧赔数据录入表!E54*BA$1,"")</f>
        <v>0</v>
      </c>
    </row>
    <row r="52" spans="54:56">
      <c r="BB52" s="4">
        <f>IF(球探欧赔数据录入表!C55&gt;0,球探欧赔数据录入表!C55*AY$1,"")</f>
        <v>0</v>
      </c>
      <c r="BC52" s="4">
        <f>IF(球探欧赔数据录入表!D55&gt;0,球探欧赔数据录入表!D55*AZ$1,"")</f>
        <v>0</v>
      </c>
      <c r="BD52" s="4">
        <f>IF(球探欧赔数据录入表!E55&gt;0,球探欧赔数据录入表!E55*BA$1,"")</f>
        <v>0</v>
      </c>
    </row>
    <row r="53" spans="54:56">
      <c r="BB53" s="4">
        <f>IF(球探欧赔数据录入表!C56&gt;0,球探欧赔数据录入表!C56*AY$1,"")</f>
        <v>0</v>
      </c>
      <c r="BC53" s="4">
        <f>IF(球探欧赔数据录入表!D56&gt;0,球探欧赔数据录入表!D56*AZ$1,"")</f>
        <v>0</v>
      </c>
      <c r="BD53" s="4">
        <f>IF(球探欧赔数据录入表!E56&gt;0,球探欧赔数据录入表!E56*BA$1,"")</f>
        <v>0</v>
      </c>
    </row>
    <row r="54" spans="54:56">
      <c r="BB54" s="4">
        <f>IF(球探欧赔数据录入表!C57&gt;0,球探欧赔数据录入表!C57*AY$1,"")</f>
        <v>0</v>
      </c>
      <c r="BC54" s="4">
        <f>IF(球探欧赔数据录入表!D57&gt;0,球探欧赔数据录入表!D57*AZ$1,"")</f>
        <v>0</v>
      </c>
      <c r="BD54" s="4">
        <f>IF(球探欧赔数据录入表!E57&gt;0,球探欧赔数据录入表!E57*BA$1,"")</f>
        <v>0</v>
      </c>
    </row>
    <row r="55" spans="54:56">
      <c r="BB55" s="4">
        <f>IF(球探欧赔数据录入表!C58&gt;0,球探欧赔数据录入表!C58*AY$1,"")</f>
        <v>0</v>
      </c>
      <c r="BC55" s="4">
        <f>IF(球探欧赔数据录入表!D58&gt;0,球探欧赔数据录入表!D58*AZ$1,"")</f>
        <v>0</v>
      </c>
      <c r="BD55" s="4">
        <f>IF(球探欧赔数据录入表!E58&gt;0,球探欧赔数据录入表!E58*BA$1,"")</f>
        <v>0</v>
      </c>
    </row>
    <row r="56" spans="54:56">
      <c r="BB56" s="4">
        <f>IF(球探欧赔数据录入表!C59&gt;0,球探欧赔数据录入表!C59*AY$1,"")</f>
        <v>0</v>
      </c>
      <c r="BC56" s="4">
        <f>IF(球探欧赔数据录入表!D59&gt;0,球探欧赔数据录入表!D59*AZ$1,"")</f>
        <v>0</v>
      </c>
      <c r="BD56" s="4">
        <f>IF(球探欧赔数据录入表!E59&gt;0,球探欧赔数据录入表!E59*BA$1,"")</f>
        <v>0</v>
      </c>
    </row>
    <row r="57" spans="54:56">
      <c r="BB57" s="4">
        <f>IF(球探欧赔数据录入表!C60&gt;0,球探欧赔数据录入表!C60*AY$1,"")</f>
        <v>0</v>
      </c>
      <c r="BC57" s="4">
        <f>IF(球探欧赔数据录入表!D60&gt;0,球探欧赔数据录入表!D60*AZ$1,"")</f>
        <v>0</v>
      </c>
      <c r="BD57" s="4">
        <f>IF(球探欧赔数据录入表!E60&gt;0,球探欧赔数据录入表!E60*BA$1,"")</f>
        <v>0</v>
      </c>
    </row>
    <row r="58" spans="54:56">
      <c r="BB58" s="4">
        <f>IF(球探欧赔数据录入表!C61&gt;0,球探欧赔数据录入表!C61*AY$1,"")</f>
        <v>0</v>
      </c>
      <c r="BC58" s="4">
        <f>IF(球探欧赔数据录入表!D61&gt;0,球探欧赔数据录入表!D61*AZ$1,"")</f>
        <v>0</v>
      </c>
      <c r="BD58" s="4">
        <f>IF(球探欧赔数据录入表!E61&gt;0,球探欧赔数据录入表!E61*BA$1,"")</f>
        <v>0</v>
      </c>
    </row>
    <row r="59" spans="54:56">
      <c r="BB59" s="4">
        <f>IF(球探欧赔数据录入表!C62&gt;0,球探欧赔数据录入表!C62*AY$1,"")</f>
        <v>0</v>
      </c>
      <c r="BC59" s="4">
        <f>IF(球探欧赔数据录入表!D62&gt;0,球探欧赔数据录入表!D62*AZ$1,"")</f>
        <v>0</v>
      </c>
      <c r="BD59" s="4">
        <f>IF(球探欧赔数据录入表!E62&gt;0,球探欧赔数据录入表!E62*BA$1,"")</f>
        <v>0</v>
      </c>
    </row>
    <row r="60" spans="54:56">
      <c r="BB60" s="4">
        <f>IF(球探欧赔数据录入表!C63&gt;0,球探欧赔数据录入表!C63*AY$1,"")</f>
        <v>0</v>
      </c>
      <c r="BC60" s="4">
        <f>IF(球探欧赔数据录入表!D63&gt;0,球探欧赔数据录入表!D63*AZ$1,"")</f>
        <v>0</v>
      </c>
      <c r="BD60" s="4">
        <f>IF(球探欧赔数据录入表!E63&gt;0,球探欧赔数据录入表!E63*BA$1,"")</f>
        <v>0</v>
      </c>
    </row>
    <row r="61" spans="54:56">
      <c r="BB61" s="4">
        <f>IF(球探欧赔数据录入表!C64&gt;0,球探欧赔数据录入表!C64*AY$1,"")</f>
        <v>0</v>
      </c>
      <c r="BC61" s="4">
        <f>IF(球探欧赔数据录入表!D64&gt;0,球探欧赔数据录入表!D64*AZ$1,"")</f>
        <v>0</v>
      </c>
      <c r="BD61" s="4">
        <f>IF(球探欧赔数据录入表!E64&gt;0,球探欧赔数据录入表!E64*BA$1,"")</f>
        <v>0</v>
      </c>
    </row>
    <row r="62" spans="54:56">
      <c r="BB62" s="4">
        <f>IF(球探欧赔数据录入表!C65&gt;0,球探欧赔数据录入表!C65*AY$1,"")</f>
        <v>0</v>
      </c>
      <c r="BC62" s="4">
        <f>IF(球探欧赔数据录入表!D65&gt;0,球探欧赔数据录入表!D65*AZ$1,"")</f>
        <v>0</v>
      </c>
      <c r="BD62" s="4">
        <f>IF(球探欧赔数据录入表!E65&gt;0,球探欧赔数据录入表!E65*BA$1,"")</f>
        <v>0</v>
      </c>
    </row>
    <row r="63" spans="54:56">
      <c r="BB63" s="4">
        <f>IF(球探欧赔数据录入表!C66&gt;0,球探欧赔数据录入表!C66*AY$1,"")</f>
        <v>0</v>
      </c>
      <c r="BC63" s="4">
        <f>IF(球探欧赔数据录入表!D66&gt;0,球探欧赔数据录入表!D66*AZ$1,"")</f>
        <v>0</v>
      </c>
      <c r="BD63" s="4">
        <f>IF(球探欧赔数据录入表!E66&gt;0,球探欧赔数据录入表!E66*BA$1,"")</f>
        <v>0</v>
      </c>
    </row>
    <row r="64" spans="54:56">
      <c r="BB64" s="4">
        <f>IF(球探欧赔数据录入表!C67&gt;0,球探欧赔数据录入表!C67*AY$1,"")</f>
        <v>0</v>
      </c>
      <c r="BC64" s="4">
        <f>IF(球探欧赔数据录入表!D67&gt;0,球探欧赔数据录入表!D67*AZ$1,"")</f>
        <v>0</v>
      </c>
      <c r="BD64" s="4">
        <f>IF(球探欧赔数据录入表!E67&gt;0,球探欧赔数据录入表!E67*BA$1,"")</f>
        <v>0</v>
      </c>
    </row>
    <row r="65" spans="54:56">
      <c r="BB65" s="4">
        <f>IF(球探欧赔数据录入表!C68&gt;0,球探欧赔数据录入表!C68*AY$1,"")</f>
        <v>0</v>
      </c>
      <c r="BC65" s="4">
        <f>IF(球探欧赔数据录入表!D68&gt;0,球探欧赔数据录入表!D68*AZ$1,"")</f>
        <v>0</v>
      </c>
      <c r="BD65" s="4">
        <f>IF(球探欧赔数据录入表!E68&gt;0,球探欧赔数据录入表!E68*BA$1,"")</f>
        <v>0</v>
      </c>
    </row>
    <row r="66" spans="54:56">
      <c r="BB66" s="4">
        <f>IF(球探欧赔数据录入表!C69&gt;0,球探欧赔数据录入表!C69*AY$1,"")</f>
        <v>0</v>
      </c>
      <c r="BC66" s="4">
        <f>IF(球探欧赔数据录入表!D69&gt;0,球探欧赔数据录入表!D69*AZ$1,"")</f>
        <v>0</v>
      </c>
      <c r="BD66" s="4">
        <f>IF(球探欧赔数据录入表!E69&gt;0,球探欧赔数据录入表!E69*BA$1,"")</f>
        <v>0</v>
      </c>
    </row>
    <row r="67" spans="54:56">
      <c r="BB67" s="4">
        <f>IF(球探欧赔数据录入表!C70&gt;0,球探欧赔数据录入表!C70*AY$1,"")</f>
        <v>0</v>
      </c>
      <c r="BC67" s="4">
        <f>IF(球探欧赔数据录入表!D70&gt;0,球探欧赔数据录入表!D70*AZ$1,"")</f>
        <v>0</v>
      </c>
      <c r="BD67" s="4">
        <f>IF(球探欧赔数据录入表!E70&gt;0,球探欧赔数据录入表!E70*BA$1,"")</f>
        <v>0</v>
      </c>
    </row>
    <row r="68" spans="54:56">
      <c r="BB68" s="4">
        <f>IF(球探欧赔数据录入表!C71&gt;0,球探欧赔数据录入表!C71*AY$1,"")</f>
        <v>0</v>
      </c>
      <c r="BC68" s="4">
        <f>IF(球探欧赔数据录入表!D71&gt;0,球探欧赔数据录入表!D71*AZ$1,"")</f>
        <v>0</v>
      </c>
      <c r="BD68" s="4">
        <f>IF(球探欧赔数据录入表!E71&gt;0,球探欧赔数据录入表!E71*BA$1,"")</f>
        <v>0</v>
      </c>
    </row>
    <row r="69" spans="54:56">
      <c r="BB69" s="4">
        <f>IF(球探欧赔数据录入表!C72&gt;0,球探欧赔数据录入表!C72*AY$1,"")</f>
        <v>0</v>
      </c>
      <c r="BC69" s="4">
        <f>IF(球探欧赔数据录入表!D72&gt;0,球探欧赔数据录入表!D72*AZ$1,"")</f>
        <v>0</v>
      </c>
      <c r="BD69" s="4">
        <f>IF(球探欧赔数据录入表!E72&gt;0,球探欧赔数据录入表!E72*BA$1,"")</f>
        <v>0</v>
      </c>
    </row>
    <row r="70" spans="54:56">
      <c r="BB70" s="4">
        <f>IF(球探欧赔数据录入表!C73&gt;0,球探欧赔数据录入表!C73*AY$1,"")</f>
        <v>0</v>
      </c>
      <c r="BC70" s="4">
        <f>IF(球探欧赔数据录入表!D73&gt;0,球探欧赔数据录入表!D73*AZ$1,"")</f>
        <v>0</v>
      </c>
      <c r="BD70" s="4">
        <f>IF(球探欧赔数据录入表!E73&gt;0,球探欧赔数据录入表!E73*BA$1,"")</f>
        <v>0</v>
      </c>
    </row>
    <row r="71" spans="54:56">
      <c r="BB71" s="4">
        <f>IF(球探欧赔数据录入表!C74&gt;0,球探欧赔数据录入表!C74*AY$1,"")</f>
        <v>0</v>
      </c>
      <c r="BC71" s="4">
        <f>IF(球探欧赔数据录入表!D74&gt;0,球探欧赔数据录入表!D74*AZ$1,"")</f>
        <v>0</v>
      </c>
      <c r="BD71" s="4">
        <f>IF(球探欧赔数据录入表!E74&gt;0,球探欧赔数据录入表!E74*BA$1,"")</f>
        <v>0</v>
      </c>
    </row>
    <row r="72" spans="54:56">
      <c r="BB72" s="4">
        <f>IF(球探欧赔数据录入表!C75&gt;0,球探欧赔数据录入表!C75*AY$1,"")</f>
        <v>0</v>
      </c>
      <c r="BC72" s="4">
        <f>IF(球探欧赔数据录入表!D75&gt;0,球探欧赔数据录入表!D75*AZ$1,"")</f>
        <v>0</v>
      </c>
      <c r="BD72" s="4">
        <f>IF(球探欧赔数据录入表!E75&gt;0,球探欧赔数据录入表!E75*BA$1,"")</f>
        <v>0</v>
      </c>
    </row>
    <row r="73" spans="54:56">
      <c r="BB73" s="4">
        <f>IF(球探欧赔数据录入表!C76&gt;0,球探欧赔数据录入表!C76*AY$1,"")</f>
        <v>0</v>
      </c>
      <c r="BC73" s="4">
        <f>IF(球探欧赔数据录入表!D76&gt;0,球探欧赔数据录入表!D76*AZ$1,"")</f>
        <v>0</v>
      </c>
      <c r="BD73" s="4">
        <f>IF(球探欧赔数据录入表!E76&gt;0,球探欧赔数据录入表!E76*BA$1,"")</f>
        <v>0</v>
      </c>
    </row>
    <row r="74" spans="54:56">
      <c r="BB74" s="4">
        <f>IF(球探欧赔数据录入表!C77&gt;0,球探欧赔数据录入表!C77*AY$1,"")</f>
        <v>0</v>
      </c>
      <c r="BC74" s="4">
        <f>IF(球探欧赔数据录入表!D77&gt;0,球探欧赔数据录入表!D77*AZ$1,"")</f>
        <v>0</v>
      </c>
      <c r="BD74" s="4">
        <f>IF(球探欧赔数据录入表!E77&gt;0,球探欧赔数据录入表!E77*BA$1,"")</f>
        <v>0</v>
      </c>
    </row>
    <row r="75" spans="54:56">
      <c r="BB75" s="4">
        <f>IF(球探欧赔数据录入表!C78&gt;0,球探欧赔数据录入表!C78*AY$1,"")</f>
        <v>0</v>
      </c>
      <c r="BC75" s="4">
        <f>IF(球探欧赔数据录入表!D78&gt;0,球探欧赔数据录入表!D78*AZ$1,"")</f>
        <v>0</v>
      </c>
      <c r="BD75" s="4">
        <f>IF(球探欧赔数据录入表!E78&gt;0,球探欧赔数据录入表!E78*BA$1,"")</f>
        <v>0</v>
      </c>
    </row>
    <row r="76" spans="54:56">
      <c r="BB76" s="4">
        <f>IF(球探欧赔数据录入表!C79&gt;0,球探欧赔数据录入表!C79*AY$1,"")</f>
        <v>0</v>
      </c>
      <c r="BC76" s="4">
        <f>IF(球探欧赔数据录入表!D79&gt;0,球探欧赔数据录入表!D79*AZ$1,"")</f>
        <v>0</v>
      </c>
      <c r="BD76" s="4">
        <f>IF(球探欧赔数据录入表!E79&gt;0,球探欧赔数据录入表!E79*BA$1,"")</f>
        <v>0</v>
      </c>
    </row>
    <row r="77" spans="54:56">
      <c r="BB77" s="4">
        <f>IF(球探欧赔数据录入表!C80&gt;0,球探欧赔数据录入表!C80*AY$1,"")</f>
        <v>0</v>
      </c>
      <c r="BC77" s="4">
        <f>IF(球探欧赔数据录入表!D80&gt;0,球探欧赔数据录入表!D80*AZ$1,"")</f>
        <v>0</v>
      </c>
      <c r="BD77" s="4">
        <f>IF(球探欧赔数据录入表!E80&gt;0,球探欧赔数据录入表!E80*BA$1,"")</f>
        <v>0</v>
      </c>
    </row>
    <row r="78" spans="54:56">
      <c r="BB78" s="4">
        <f>IF(球探欧赔数据录入表!C81&gt;0,球探欧赔数据录入表!C81*AY$1,"")</f>
        <v>0</v>
      </c>
      <c r="BC78" s="4">
        <f>IF(球探欧赔数据录入表!D81&gt;0,球探欧赔数据录入表!D81*AZ$1,"")</f>
        <v>0</v>
      </c>
      <c r="BD78" s="4">
        <f>IF(球探欧赔数据录入表!E81&gt;0,球探欧赔数据录入表!E81*BA$1,"")</f>
        <v>0</v>
      </c>
    </row>
    <row r="79" spans="54:56">
      <c r="BB79" s="4">
        <f>IF(球探欧赔数据录入表!C82&gt;0,球探欧赔数据录入表!C82*AY$1,"")</f>
        <v>0</v>
      </c>
      <c r="BC79" s="4">
        <f>IF(球探欧赔数据录入表!D82&gt;0,球探欧赔数据录入表!D82*AZ$1,"")</f>
        <v>0</v>
      </c>
      <c r="BD79" s="4">
        <f>IF(球探欧赔数据录入表!E82&gt;0,球探欧赔数据录入表!E82*BA$1,"")</f>
        <v>0</v>
      </c>
    </row>
    <row r="80" spans="54:56">
      <c r="BB80" s="4">
        <f>IF(球探欧赔数据录入表!C83&gt;0,球探欧赔数据录入表!C83*AY$1,"")</f>
        <v>0</v>
      </c>
      <c r="BC80" s="4">
        <f>IF(球探欧赔数据录入表!D83&gt;0,球探欧赔数据录入表!D83*AZ$1,"")</f>
        <v>0</v>
      </c>
      <c r="BD80" s="4">
        <f>IF(球探欧赔数据录入表!E83&gt;0,球探欧赔数据录入表!E83*BA$1,"")</f>
        <v>0</v>
      </c>
    </row>
    <row r="81" spans="54:56">
      <c r="BB81" s="4">
        <f>IF(球探欧赔数据录入表!C84&gt;0,球探欧赔数据录入表!C84*AY$1,"")</f>
        <v>0</v>
      </c>
      <c r="BC81" s="4">
        <f>IF(球探欧赔数据录入表!D84&gt;0,球探欧赔数据录入表!D84*AZ$1,"")</f>
        <v>0</v>
      </c>
      <c r="BD81" s="4">
        <f>IF(球探欧赔数据录入表!E84&gt;0,球探欧赔数据录入表!E84*BA$1,"")</f>
        <v>0</v>
      </c>
    </row>
    <row r="82" spans="54:56">
      <c r="BB82" s="4">
        <f>IF(球探欧赔数据录入表!C85&gt;0,球探欧赔数据录入表!C85*AY$1,"")</f>
        <v>0</v>
      </c>
      <c r="BC82" s="4">
        <f>IF(球探欧赔数据录入表!D85&gt;0,球探欧赔数据录入表!D85*AZ$1,"")</f>
        <v>0</v>
      </c>
      <c r="BD82" s="4">
        <f>IF(球探欧赔数据录入表!E85&gt;0,球探欧赔数据录入表!E85*BA$1,"")</f>
        <v>0</v>
      </c>
    </row>
    <row r="83" spans="54:56">
      <c r="BB83" s="4">
        <f>IF(球探欧赔数据录入表!C86&gt;0,球探欧赔数据录入表!C86*AY$1,"")</f>
        <v>0</v>
      </c>
      <c r="BC83" s="4">
        <f>IF(球探欧赔数据录入表!D86&gt;0,球探欧赔数据录入表!D86*AZ$1,"")</f>
        <v>0</v>
      </c>
      <c r="BD83" s="4">
        <f>IF(球探欧赔数据录入表!E86&gt;0,球探欧赔数据录入表!E86*BA$1,"")</f>
        <v>0</v>
      </c>
    </row>
    <row r="84" spans="54:56">
      <c r="BB84" s="4">
        <f>IF(球探欧赔数据录入表!C87&gt;0,球探欧赔数据录入表!C87*AY$1,"")</f>
        <v>0</v>
      </c>
      <c r="BC84" s="4">
        <f>IF(球探欧赔数据录入表!D87&gt;0,球探欧赔数据录入表!D87*AZ$1,"")</f>
        <v>0</v>
      </c>
      <c r="BD84" s="4">
        <f>IF(球探欧赔数据录入表!E87&gt;0,球探欧赔数据录入表!E87*BA$1,"")</f>
        <v>0</v>
      </c>
    </row>
    <row r="85" spans="54:56">
      <c r="BB85" s="4">
        <f>IF(球探欧赔数据录入表!C88&gt;0,球探欧赔数据录入表!C88*AY$1,"")</f>
        <v>0</v>
      </c>
      <c r="BC85" s="4">
        <f>IF(球探欧赔数据录入表!D88&gt;0,球探欧赔数据录入表!D88*AZ$1,"")</f>
        <v>0</v>
      </c>
      <c r="BD85" s="4">
        <f>IF(球探欧赔数据录入表!E88&gt;0,球探欧赔数据录入表!E88*BA$1,"")</f>
        <v>0</v>
      </c>
    </row>
    <row r="86" spans="54:56">
      <c r="BB86" s="4">
        <f>IF(球探欧赔数据录入表!C89&gt;0,球探欧赔数据录入表!C89*AY$1,"")</f>
        <v>0</v>
      </c>
      <c r="BC86" s="4">
        <f>IF(球探欧赔数据录入表!D89&gt;0,球探欧赔数据录入表!D89*AZ$1,"")</f>
        <v>0</v>
      </c>
      <c r="BD86" s="4">
        <f>IF(球探欧赔数据录入表!E89&gt;0,球探欧赔数据录入表!E89*BA$1,"")</f>
        <v>0</v>
      </c>
    </row>
    <row r="87" spans="54:56">
      <c r="BB87" s="4">
        <f>IF(球探欧赔数据录入表!C90&gt;0,球探欧赔数据录入表!C90*AY$1,"")</f>
        <v>0</v>
      </c>
      <c r="BC87" s="4">
        <f>IF(球探欧赔数据录入表!D90&gt;0,球探欧赔数据录入表!D90*AZ$1,"")</f>
        <v>0</v>
      </c>
      <c r="BD87" s="4">
        <f>IF(球探欧赔数据录入表!E90&gt;0,球探欧赔数据录入表!E90*BA$1,"")</f>
        <v>0</v>
      </c>
    </row>
    <row r="88" spans="54:56">
      <c r="BB88" s="4">
        <f>IF(球探欧赔数据录入表!C91&gt;0,球探欧赔数据录入表!C91*AY$1,"")</f>
        <v>0</v>
      </c>
      <c r="BC88" s="4">
        <f>IF(球探欧赔数据录入表!D91&gt;0,球探欧赔数据录入表!D91*AZ$1,"")</f>
        <v>0</v>
      </c>
      <c r="BD88" s="4">
        <f>IF(球探欧赔数据录入表!E91&gt;0,球探欧赔数据录入表!E91*BA$1,"")</f>
        <v>0</v>
      </c>
    </row>
    <row r="89" spans="54:56">
      <c r="BB89" s="4">
        <f>IF(球探欧赔数据录入表!C92&gt;0,球探欧赔数据录入表!C92*AY$1,"")</f>
        <v>0</v>
      </c>
      <c r="BC89" s="4">
        <f>IF(球探欧赔数据录入表!D92&gt;0,球探欧赔数据录入表!D92*AZ$1,"")</f>
        <v>0</v>
      </c>
      <c r="BD89" s="4">
        <f>IF(球探欧赔数据录入表!E92&gt;0,球探欧赔数据录入表!E92*BA$1,"")</f>
        <v>0</v>
      </c>
    </row>
    <row r="90" spans="54:56">
      <c r="BB90" s="4">
        <f>IF(球探欧赔数据录入表!C93&gt;0,球探欧赔数据录入表!C93*AY$1,"")</f>
        <v>0</v>
      </c>
      <c r="BC90" s="4">
        <f>IF(球探欧赔数据录入表!D93&gt;0,球探欧赔数据录入表!D93*AZ$1,"")</f>
        <v>0</v>
      </c>
      <c r="BD90" s="4">
        <f>IF(球探欧赔数据录入表!E93&gt;0,球探欧赔数据录入表!E93*BA$1,"")</f>
        <v>0</v>
      </c>
    </row>
    <row r="91" spans="54:56">
      <c r="BB91" s="4">
        <f>IF(球探欧赔数据录入表!C94&gt;0,球探欧赔数据录入表!C94*AY$1,"")</f>
        <v>0</v>
      </c>
      <c r="BC91" s="4">
        <f>IF(球探欧赔数据录入表!D94&gt;0,球探欧赔数据录入表!D94*AZ$1,"")</f>
        <v>0</v>
      </c>
      <c r="BD91" s="4">
        <f>IF(球探欧赔数据录入表!E94&gt;0,球探欧赔数据录入表!E94*BA$1,"")</f>
        <v>0</v>
      </c>
    </row>
    <row r="92" spans="54:56">
      <c r="BB92" s="4">
        <f>IF(球探欧赔数据录入表!C95&gt;0,球探欧赔数据录入表!C95*AY$1,"")</f>
        <v>0</v>
      </c>
      <c r="BC92" s="4">
        <f>IF(球探欧赔数据录入表!D95&gt;0,球探欧赔数据录入表!D95*AZ$1,"")</f>
        <v>0</v>
      </c>
      <c r="BD92" s="4">
        <f>IF(球探欧赔数据录入表!E95&gt;0,球探欧赔数据录入表!E95*BA$1,"")</f>
        <v>0</v>
      </c>
    </row>
    <row r="93" spans="54:56">
      <c r="BB93" s="4">
        <f>IF(球探欧赔数据录入表!C96&gt;0,球探欧赔数据录入表!C96*AY$1,"")</f>
        <v>0</v>
      </c>
      <c r="BC93" s="4">
        <f>IF(球探欧赔数据录入表!D96&gt;0,球探欧赔数据录入表!D96*AZ$1,"")</f>
        <v>0</v>
      </c>
      <c r="BD93" s="4">
        <f>IF(球探欧赔数据录入表!E96&gt;0,球探欧赔数据录入表!E96*BA$1,"")</f>
        <v>0</v>
      </c>
    </row>
    <row r="94" spans="54:56">
      <c r="BB94" s="4">
        <f>IF(球探欧赔数据录入表!C97&gt;0,球探欧赔数据录入表!C97*AY$1,"")</f>
        <v>0</v>
      </c>
      <c r="BC94" s="4">
        <f>IF(球探欧赔数据录入表!D97&gt;0,球探欧赔数据录入表!D97*AZ$1,"")</f>
        <v>0</v>
      </c>
      <c r="BD94" s="4">
        <f>IF(球探欧赔数据录入表!E97&gt;0,球探欧赔数据录入表!E97*BA$1,"")</f>
        <v>0</v>
      </c>
    </row>
    <row r="95" spans="54:56">
      <c r="BB95" s="4">
        <f>IF(球探欧赔数据录入表!C98&gt;0,球探欧赔数据录入表!C98*AY$1,"")</f>
        <v>0</v>
      </c>
      <c r="BC95" s="4">
        <f>IF(球探欧赔数据录入表!D98&gt;0,球探欧赔数据录入表!D98*AZ$1,"")</f>
        <v>0</v>
      </c>
      <c r="BD95" s="4">
        <f>IF(球探欧赔数据录入表!E98&gt;0,球探欧赔数据录入表!E98*BA$1,"")</f>
        <v>0</v>
      </c>
    </row>
    <row r="96" spans="54:56">
      <c r="BB96" s="4">
        <f>IF(球探欧赔数据录入表!C99&gt;0,球探欧赔数据录入表!C99*AY$1,"")</f>
        <v>0</v>
      </c>
      <c r="BC96" s="4">
        <f>IF(球探欧赔数据录入表!D99&gt;0,球探欧赔数据录入表!D99*AZ$1,"")</f>
        <v>0</v>
      </c>
      <c r="BD96" s="4">
        <f>IF(球探欧赔数据录入表!E99&gt;0,球探欧赔数据录入表!E99*BA$1,"")</f>
        <v>0</v>
      </c>
    </row>
    <row r="97" spans="54:56">
      <c r="BB97" s="4">
        <f>IF(球探欧赔数据录入表!C100&gt;0,球探欧赔数据录入表!C100*AY$1,"")</f>
        <v>0</v>
      </c>
      <c r="BC97" s="4">
        <f>IF(球探欧赔数据录入表!D100&gt;0,球探欧赔数据录入表!D100*AZ$1,"")</f>
        <v>0</v>
      </c>
      <c r="BD97" s="4">
        <f>IF(球探欧赔数据录入表!E100&gt;0,球探欧赔数据录入表!E100*BA$1,"")</f>
        <v>0</v>
      </c>
    </row>
    <row r="98" spans="54:56">
      <c r="BB98" s="4">
        <f>IF(球探欧赔数据录入表!C101&gt;0,球探欧赔数据录入表!C101*AY$1,"")</f>
        <v>0</v>
      </c>
      <c r="BC98" s="4">
        <f>IF(球探欧赔数据录入表!D101&gt;0,球探欧赔数据录入表!D101*AZ$1,"")</f>
        <v>0</v>
      </c>
      <c r="BD98" s="4">
        <f>IF(球探欧赔数据录入表!E101&gt;0,球探欧赔数据录入表!E101*BA$1,"")</f>
        <v>0</v>
      </c>
    </row>
    <row r="99" spans="54:56">
      <c r="BB99" s="4">
        <f>IF(球探欧赔数据录入表!C102&gt;0,球探欧赔数据录入表!C102*AY$1,"")</f>
        <v>0</v>
      </c>
      <c r="BC99" s="4">
        <f>IF(球探欧赔数据录入表!D102&gt;0,球探欧赔数据录入表!D102*AZ$1,"")</f>
        <v>0</v>
      </c>
      <c r="BD99" s="4">
        <f>IF(球探欧赔数据录入表!E102&gt;0,球探欧赔数据录入表!E102*BA$1,"")</f>
        <v>0</v>
      </c>
    </row>
    <row r="100" spans="54:56">
      <c r="BB100" s="4">
        <f>IF(球探欧赔数据录入表!C103&gt;0,球探欧赔数据录入表!C103*AY$1,"")</f>
        <v>0</v>
      </c>
      <c r="BC100" s="4">
        <f>IF(球探欧赔数据录入表!D103&gt;0,球探欧赔数据录入表!D103*AZ$1,"")</f>
        <v>0</v>
      </c>
      <c r="BD100" s="4">
        <f>IF(球探欧赔数据录入表!E103&gt;0,球探欧赔数据录入表!E103*BA$1,"")</f>
        <v>0</v>
      </c>
    </row>
    <row r="101" spans="54:56">
      <c r="BB101" s="4">
        <f>IF(球探欧赔数据录入表!C104&gt;0,球探欧赔数据录入表!C104*AY$1,"")</f>
        <v>0</v>
      </c>
      <c r="BC101" s="4">
        <f>IF(球探欧赔数据录入表!D104&gt;0,球探欧赔数据录入表!D104*AZ$1,"")</f>
        <v>0</v>
      </c>
      <c r="BD101" s="4">
        <f>IF(球探欧赔数据录入表!E104&gt;0,球探欧赔数据录入表!E104*BA$1,"")</f>
        <v>0</v>
      </c>
    </row>
    <row r="102" spans="54:56">
      <c r="BB102" s="4">
        <f>IF(球探欧赔数据录入表!C105&gt;0,球探欧赔数据录入表!C105*AY$1,"")</f>
        <v>0</v>
      </c>
      <c r="BC102" s="4">
        <f>IF(球探欧赔数据录入表!D105&gt;0,球探欧赔数据录入表!D105*AZ$1,"")</f>
        <v>0</v>
      </c>
      <c r="BD102" s="4">
        <f>IF(球探欧赔数据录入表!E105&gt;0,球探欧赔数据录入表!E105*BA$1,"")</f>
        <v>0</v>
      </c>
    </row>
    <row r="103" spans="54:56">
      <c r="BB103" s="4">
        <f>IF(球探欧赔数据录入表!C106&gt;0,球探欧赔数据录入表!C106*AY$1,"")</f>
        <v>0</v>
      </c>
      <c r="BC103" s="4">
        <f>IF(球探欧赔数据录入表!D106&gt;0,球探欧赔数据录入表!D106*AZ$1,"")</f>
        <v>0</v>
      </c>
      <c r="BD103" s="4">
        <f>IF(球探欧赔数据录入表!E106&gt;0,球探欧赔数据录入表!E106*BA$1,"")</f>
        <v>0</v>
      </c>
    </row>
    <row r="104" spans="54:56">
      <c r="BB104" s="4">
        <f>IF(球探欧赔数据录入表!C107&gt;0,球探欧赔数据录入表!C107*AY$1,"")</f>
        <v>0</v>
      </c>
      <c r="BC104" s="4">
        <f>IF(球探欧赔数据录入表!D107&gt;0,球探欧赔数据录入表!D107*AZ$1,"")</f>
        <v>0</v>
      </c>
      <c r="BD104" s="4">
        <f>IF(球探欧赔数据录入表!E107&gt;0,球探欧赔数据录入表!E107*BA$1,"")</f>
        <v>0</v>
      </c>
    </row>
    <row r="105" spans="54:56">
      <c r="BB105" s="4">
        <f>IF(球探欧赔数据录入表!C108&gt;0,球探欧赔数据录入表!C108*AY$1,"")</f>
        <v>0</v>
      </c>
      <c r="BC105" s="4">
        <f>IF(球探欧赔数据录入表!D108&gt;0,球探欧赔数据录入表!D108*AZ$1,"")</f>
        <v>0</v>
      </c>
      <c r="BD105" s="4">
        <f>IF(球探欧赔数据录入表!E108&gt;0,球探欧赔数据录入表!E108*BA$1,"")</f>
        <v>0</v>
      </c>
    </row>
    <row r="106" spans="54:56">
      <c r="BB106" s="4">
        <f>IF(球探欧赔数据录入表!C109&gt;0,球探欧赔数据录入表!C109*AY$1,"")</f>
        <v>0</v>
      </c>
      <c r="BC106" s="4">
        <f>IF(球探欧赔数据录入表!D109&gt;0,球探欧赔数据录入表!D109*AZ$1,"")</f>
        <v>0</v>
      </c>
      <c r="BD106" s="4">
        <f>IF(球探欧赔数据录入表!E109&gt;0,球探欧赔数据录入表!E109*BA$1,"")</f>
        <v>0</v>
      </c>
    </row>
    <row r="107" spans="54:56">
      <c r="BB107" s="4">
        <f>IF(球探欧赔数据录入表!C110&gt;0,球探欧赔数据录入表!C110*AY$1,"")</f>
        <v>0</v>
      </c>
      <c r="BC107" s="4">
        <f>IF(球探欧赔数据录入表!D110&gt;0,球探欧赔数据录入表!D110*AZ$1,"")</f>
        <v>0</v>
      </c>
      <c r="BD107" s="4">
        <f>IF(球探欧赔数据录入表!E110&gt;0,球探欧赔数据录入表!E110*BA$1,"")</f>
        <v>0</v>
      </c>
    </row>
    <row r="108" spans="54:56">
      <c r="BB108" s="4">
        <f>IF(球探欧赔数据录入表!C111&gt;0,球探欧赔数据录入表!C111*AY$1,"")</f>
        <v>0</v>
      </c>
      <c r="BC108" s="4">
        <f>IF(球探欧赔数据录入表!D111&gt;0,球探欧赔数据录入表!D111*AZ$1,"")</f>
        <v>0</v>
      </c>
      <c r="BD108" s="4">
        <f>IF(球探欧赔数据录入表!E111&gt;0,球探欧赔数据录入表!E111*BA$1,"")</f>
        <v>0</v>
      </c>
    </row>
    <row r="109" spans="54:56">
      <c r="BB109" s="4">
        <f>IF(球探欧赔数据录入表!C112&gt;0,球探欧赔数据录入表!C112*AY$1,"")</f>
        <v>0</v>
      </c>
      <c r="BC109" s="4">
        <f>IF(球探欧赔数据录入表!D112&gt;0,球探欧赔数据录入表!D112*AZ$1,"")</f>
        <v>0</v>
      </c>
      <c r="BD109" s="4">
        <f>IF(球探欧赔数据录入表!E112&gt;0,球探欧赔数据录入表!E112*BA$1,"")</f>
        <v>0</v>
      </c>
    </row>
    <row r="110" spans="54:56">
      <c r="BB110" s="4">
        <f>IF(球探欧赔数据录入表!C113&gt;0,球探欧赔数据录入表!C113*AY$1,"")</f>
        <v>0</v>
      </c>
      <c r="BC110" s="4">
        <f>IF(球探欧赔数据录入表!D113&gt;0,球探欧赔数据录入表!D113*AZ$1,"")</f>
        <v>0</v>
      </c>
      <c r="BD110" s="4">
        <f>IF(球探欧赔数据录入表!E113&gt;0,球探欧赔数据录入表!E113*BA$1,"")</f>
        <v>0</v>
      </c>
    </row>
    <row r="111" spans="54:56">
      <c r="BB111" s="4">
        <f>IF(球探欧赔数据录入表!C114&gt;0,球探欧赔数据录入表!C114*AY$1,"")</f>
        <v>0</v>
      </c>
      <c r="BC111" s="4">
        <f>IF(球探欧赔数据录入表!D114&gt;0,球探欧赔数据录入表!D114*AZ$1,"")</f>
        <v>0</v>
      </c>
      <c r="BD111" s="4">
        <f>IF(球探欧赔数据录入表!E114&gt;0,球探欧赔数据录入表!E114*BA$1,"")</f>
        <v>0</v>
      </c>
    </row>
    <row r="112" spans="54:56">
      <c r="BB112" s="4">
        <f>IF(球探欧赔数据录入表!C115&gt;0,球探欧赔数据录入表!C115*AY$1,"")</f>
        <v>0</v>
      </c>
      <c r="BC112" s="4">
        <f>IF(球探欧赔数据录入表!D115&gt;0,球探欧赔数据录入表!D115*AZ$1,"")</f>
        <v>0</v>
      </c>
      <c r="BD112" s="4">
        <f>IF(球探欧赔数据录入表!E115&gt;0,球探欧赔数据录入表!E115*BA$1,"")</f>
        <v>0</v>
      </c>
    </row>
    <row r="113" spans="54:56">
      <c r="BB113" s="4">
        <f>IF(球探欧赔数据录入表!C116&gt;0,球探欧赔数据录入表!C116*AY$1,"")</f>
        <v>0</v>
      </c>
      <c r="BC113" s="4">
        <f>IF(球探欧赔数据录入表!D116&gt;0,球探欧赔数据录入表!D116*AZ$1,"")</f>
        <v>0</v>
      </c>
      <c r="BD113" s="4">
        <f>IF(球探欧赔数据录入表!E116&gt;0,球探欧赔数据录入表!E116*BA$1,"")</f>
        <v>0</v>
      </c>
    </row>
    <row r="114" spans="54:56">
      <c r="BB114" s="4">
        <f>IF(球探欧赔数据录入表!C117&gt;0,球探欧赔数据录入表!C117*AY$1,"")</f>
        <v>0</v>
      </c>
      <c r="BC114" s="4">
        <f>IF(球探欧赔数据录入表!D117&gt;0,球探欧赔数据录入表!D117*AZ$1,"")</f>
        <v>0</v>
      </c>
      <c r="BD114" s="4">
        <f>IF(球探欧赔数据录入表!E117&gt;0,球探欧赔数据录入表!E117*BA$1,"")</f>
        <v>0</v>
      </c>
    </row>
    <row r="115" spans="54:56">
      <c r="BB115" s="4">
        <f>IF(球探欧赔数据录入表!C118&gt;0,球探欧赔数据录入表!C118*AY$1,"")</f>
        <v>0</v>
      </c>
      <c r="BC115" s="4">
        <f>IF(球探欧赔数据录入表!D118&gt;0,球探欧赔数据录入表!D118*AZ$1,"")</f>
        <v>0</v>
      </c>
      <c r="BD115" s="4">
        <f>IF(球探欧赔数据录入表!E118&gt;0,球探欧赔数据录入表!E118*BA$1,"")</f>
        <v>0</v>
      </c>
    </row>
    <row r="116" spans="54:56">
      <c r="BB116" s="4">
        <f>IF(球探欧赔数据录入表!C119&gt;0,球探欧赔数据录入表!C119*AY$1,"")</f>
        <v>0</v>
      </c>
      <c r="BC116" s="4">
        <f>IF(球探欧赔数据录入表!D119&gt;0,球探欧赔数据录入表!D119*AZ$1,"")</f>
        <v>0</v>
      </c>
      <c r="BD116" s="4">
        <f>IF(球探欧赔数据录入表!E119&gt;0,球探欧赔数据录入表!E119*BA$1,"")</f>
        <v>0</v>
      </c>
    </row>
    <row r="117" spans="54:56">
      <c r="BB117" s="4">
        <f>IF(球探欧赔数据录入表!C120&gt;0,球探欧赔数据录入表!C120*AY$1,"")</f>
        <v>0</v>
      </c>
      <c r="BC117" s="4">
        <f>IF(球探欧赔数据录入表!D120&gt;0,球探欧赔数据录入表!D120*AZ$1,"")</f>
        <v>0</v>
      </c>
      <c r="BD117" s="4">
        <f>IF(球探欧赔数据录入表!E120&gt;0,球探欧赔数据录入表!E120*BA$1,"")</f>
        <v>0</v>
      </c>
    </row>
    <row r="118" spans="54:56">
      <c r="BB118" s="4">
        <f>IF(球探欧赔数据录入表!C121&gt;0,球探欧赔数据录入表!C121*AY$1,"")</f>
        <v>0</v>
      </c>
      <c r="BC118" s="4">
        <f>IF(球探欧赔数据录入表!D121&gt;0,球探欧赔数据录入表!D121*AZ$1,"")</f>
        <v>0</v>
      </c>
      <c r="BD118" s="4">
        <f>IF(球探欧赔数据录入表!E121&gt;0,球探欧赔数据录入表!E121*BA$1,"")</f>
        <v>0</v>
      </c>
    </row>
    <row r="119" spans="54:56">
      <c r="BB119" s="4">
        <f>IF(球探欧赔数据录入表!C122&gt;0,球探欧赔数据录入表!C122*AY$1,"")</f>
        <v>0</v>
      </c>
      <c r="BC119" s="4">
        <f>IF(球探欧赔数据录入表!D122&gt;0,球探欧赔数据录入表!D122*AZ$1,"")</f>
        <v>0</v>
      </c>
      <c r="BD119" s="4">
        <f>IF(球探欧赔数据录入表!E122&gt;0,球探欧赔数据录入表!E122*BA$1,"")</f>
        <v>0</v>
      </c>
    </row>
    <row r="120" spans="54:56">
      <c r="BB120" s="4">
        <f>IF(球探欧赔数据录入表!C123&gt;0,球探欧赔数据录入表!C123*AY$1,"")</f>
        <v>0</v>
      </c>
      <c r="BC120" s="4">
        <f>IF(球探欧赔数据录入表!D123&gt;0,球探欧赔数据录入表!D123*AZ$1,"")</f>
        <v>0</v>
      </c>
      <c r="BD120" s="4">
        <f>IF(球探欧赔数据录入表!E123&gt;0,球探欧赔数据录入表!E123*BA$1,"")</f>
        <v>0</v>
      </c>
    </row>
    <row r="121" spans="54:56">
      <c r="BB121" s="4">
        <f>IF(球探欧赔数据录入表!C124&gt;0,球探欧赔数据录入表!C124*AY$1,"")</f>
        <v>0</v>
      </c>
      <c r="BC121" s="4">
        <f>IF(球探欧赔数据录入表!D124&gt;0,球探欧赔数据录入表!D124*AZ$1,"")</f>
        <v>0</v>
      </c>
      <c r="BD121" s="4">
        <f>IF(球探欧赔数据录入表!E124&gt;0,球探欧赔数据录入表!E124*BA$1,"")</f>
        <v>0</v>
      </c>
    </row>
    <row r="122" spans="54:56">
      <c r="BB122" s="4">
        <f>IF(球探欧赔数据录入表!C125&gt;0,球探欧赔数据录入表!C125*AY$1,"")</f>
        <v>0</v>
      </c>
      <c r="BC122" s="4">
        <f>IF(球探欧赔数据录入表!D125&gt;0,球探欧赔数据录入表!D125*AZ$1,"")</f>
        <v>0</v>
      </c>
      <c r="BD122" s="4">
        <f>IF(球探欧赔数据录入表!E125&gt;0,球探欧赔数据录入表!E125*BA$1,"")</f>
        <v>0</v>
      </c>
    </row>
    <row r="123" spans="54:56">
      <c r="BB123" s="4">
        <f>IF(球探欧赔数据录入表!C126&gt;0,球探欧赔数据录入表!C126*AY$1,"")</f>
        <v>0</v>
      </c>
      <c r="BC123" s="4">
        <f>IF(球探欧赔数据录入表!D126&gt;0,球探欧赔数据录入表!D126*AZ$1,"")</f>
        <v>0</v>
      </c>
      <c r="BD123" s="4">
        <f>IF(球探欧赔数据录入表!E126&gt;0,球探欧赔数据录入表!E126*BA$1,"")</f>
        <v>0</v>
      </c>
    </row>
    <row r="124" spans="54:56">
      <c r="BB124" s="4">
        <f>IF(球探欧赔数据录入表!C127&gt;0,球探欧赔数据录入表!C127*AY$1,"")</f>
        <v>0</v>
      </c>
      <c r="BC124" s="4">
        <f>IF(球探欧赔数据录入表!D127&gt;0,球探欧赔数据录入表!D127*AZ$1,"")</f>
        <v>0</v>
      </c>
      <c r="BD124" s="4">
        <f>IF(球探欧赔数据录入表!E127&gt;0,球探欧赔数据录入表!E127*BA$1,"")</f>
        <v>0</v>
      </c>
    </row>
    <row r="125" spans="54:56">
      <c r="BB125" s="4">
        <f>IF(球探欧赔数据录入表!C128&gt;0,球探欧赔数据录入表!C128*AY$1,"")</f>
        <v>0</v>
      </c>
      <c r="BC125" s="4">
        <f>IF(球探欧赔数据录入表!D128&gt;0,球探欧赔数据录入表!D128*AZ$1,"")</f>
        <v>0</v>
      </c>
      <c r="BD125" s="4">
        <f>IF(球探欧赔数据录入表!E128&gt;0,球探欧赔数据录入表!E128*BA$1,"")</f>
        <v>0</v>
      </c>
    </row>
    <row r="126" spans="54:56">
      <c r="BB126" s="4">
        <f>IF(球探欧赔数据录入表!C129&gt;0,球探欧赔数据录入表!C129*AY$1,"")</f>
        <v>0</v>
      </c>
      <c r="BC126" s="4">
        <f>IF(球探欧赔数据录入表!D129&gt;0,球探欧赔数据录入表!D129*AZ$1,"")</f>
        <v>0</v>
      </c>
      <c r="BD126" s="4">
        <f>IF(球探欧赔数据录入表!E129&gt;0,球探欧赔数据录入表!E129*BA$1,"")</f>
        <v>0</v>
      </c>
    </row>
    <row r="127" spans="54:56">
      <c r="BB127" s="4">
        <f>IF(球探欧赔数据录入表!C130&gt;0,球探欧赔数据录入表!C130*AY$1,"")</f>
        <v>0</v>
      </c>
      <c r="BC127" s="4">
        <f>IF(球探欧赔数据录入表!D130&gt;0,球探欧赔数据录入表!D130*AZ$1,"")</f>
        <v>0</v>
      </c>
      <c r="BD127" s="4">
        <f>IF(球探欧赔数据录入表!E130&gt;0,球探欧赔数据录入表!E130*BA$1,"")</f>
        <v>0</v>
      </c>
    </row>
    <row r="128" spans="54:56">
      <c r="BB128" s="4">
        <f>IF(球探欧赔数据录入表!C131&gt;0,球探欧赔数据录入表!C131*AY$1,"")</f>
        <v>0</v>
      </c>
      <c r="BC128" s="4">
        <f>IF(球探欧赔数据录入表!D131&gt;0,球探欧赔数据录入表!D131*AZ$1,"")</f>
        <v>0</v>
      </c>
      <c r="BD128" s="4">
        <f>IF(球探欧赔数据录入表!E131&gt;0,球探欧赔数据录入表!E131*BA$1,"")</f>
        <v>0</v>
      </c>
    </row>
    <row r="129" spans="54:56">
      <c r="BB129" s="4">
        <f>IF(球探欧赔数据录入表!C132&gt;0,球探欧赔数据录入表!C132*AY$1,"")</f>
        <v>0</v>
      </c>
      <c r="BC129" s="4">
        <f>IF(球探欧赔数据录入表!D132&gt;0,球探欧赔数据录入表!D132*AZ$1,"")</f>
        <v>0</v>
      </c>
      <c r="BD129" s="4">
        <f>IF(球探欧赔数据录入表!E132&gt;0,球探欧赔数据录入表!E132*BA$1,"")</f>
        <v>0</v>
      </c>
    </row>
    <row r="130" spans="54:56">
      <c r="BB130" s="4">
        <f>IF(球探欧赔数据录入表!C133&gt;0,球探欧赔数据录入表!C133*AY$1,"")</f>
        <v>0</v>
      </c>
      <c r="BC130" s="4">
        <f>IF(球探欧赔数据录入表!D133&gt;0,球探欧赔数据录入表!D133*AZ$1,"")</f>
        <v>0</v>
      </c>
      <c r="BD130" s="4">
        <f>IF(球探欧赔数据录入表!E133&gt;0,球探欧赔数据录入表!E133*BA$1,"")</f>
        <v>0</v>
      </c>
    </row>
    <row r="131" spans="54:56">
      <c r="BB131" s="4">
        <f>IF(球探欧赔数据录入表!C134&gt;0,球探欧赔数据录入表!C134*AY$1,"")</f>
        <v>0</v>
      </c>
      <c r="BC131" s="4">
        <f>IF(球探欧赔数据录入表!D134&gt;0,球探欧赔数据录入表!D134*AZ$1,"")</f>
        <v>0</v>
      </c>
      <c r="BD131" s="4">
        <f>IF(球探欧赔数据录入表!E134&gt;0,球探欧赔数据录入表!E134*BA$1,"")</f>
        <v>0</v>
      </c>
    </row>
    <row r="132" spans="54:56">
      <c r="BB132" s="4">
        <f>IF(球探欧赔数据录入表!C135&gt;0,球探欧赔数据录入表!C135*AY$1,"")</f>
        <v>0</v>
      </c>
      <c r="BC132" s="4">
        <f>IF(球探欧赔数据录入表!D135&gt;0,球探欧赔数据录入表!D135*AZ$1,"")</f>
        <v>0</v>
      </c>
      <c r="BD132" s="4">
        <f>IF(球探欧赔数据录入表!E135&gt;0,球探欧赔数据录入表!E135*BA$1,"")</f>
        <v>0</v>
      </c>
    </row>
    <row r="133" spans="54:56">
      <c r="BB133" s="4">
        <f>IF(球探欧赔数据录入表!C136&gt;0,球探欧赔数据录入表!C136*AY$1,"")</f>
        <v>0</v>
      </c>
      <c r="BC133" s="4">
        <f>IF(球探欧赔数据录入表!D136&gt;0,球探欧赔数据录入表!D136*AZ$1,"")</f>
        <v>0</v>
      </c>
      <c r="BD133" s="4">
        <f>IF(球探欧赔数据录入表!E136&gt;0,球探欧赔数据录入表!E136*BA$1,"")</f>
        <v>0</v>
      </c>
    </row>
    <row r="134" spans="54:56">
      <c r="BB134" s="4">
        <f>IF(球探欧赔数据录入表!C137&gt;0,球探欧赔数据录入表!C137*AY$1,"")</f>
        <v>0</v>
      </c>
      <c r="BC134" s="4">
        <f>IF(球探欧赔数据录入表!D137&gt;0,球探欧赔数据录入表!D137*AZ$1,"")</f>
        <v>0</v>
      </c>
      <c r="BD134" s="4">
        <f>IF(球探欧赔数据录入表!E137&gt;0,球探欧赔数据录入表!E137*BA$1,"")</f>
        <v>0</v>
      </c>
    </row>
    <row r="135" spans="54:56">
      <c r="BB135" s="4">
        <f>IF(球探欧赔数据录入表!C138&gt;0,球探欧赔数据录入表!C138*AY$1,"")</f>
        <v>0</v>
      </c>
      <c r="BC135" s="4">
        <f>IF(球探欧赔数据录入表!D138&gt;0,球探欧赔数据录入表!D138*AZ$1,"")</f>
        <v>0</v>
      </c>
      <c r="BD135" s="4">
        <f>IF(球探欧赔数据录入表!E138&gt;0,球探欧赔数据录入表!E138*BA$1,"")</f>
        <v>0</v>
      </c>
    </row>
    <row r="136" spans="54:56">
      <c r="BB136" s="4">
        <f>IF(球探欧赔数据录入表!C139&gt;0,球探欧赔数据录入表!C139*AY$1,"")</f>
        <v>0</v>
      </c>
      <c r="BC136" s="4">
        <f>IF(球探欧赔数据录入表!D139&gt;0,球探欧赔数据录入表!D139*AZ$1,"")</f>
        <v>0</v>
      </c>
      <c r="BD136" s="4">
        <f>IF(球探欧赔数据录入表!E139&gt;0,球探欧赔数据录入表!E139*BA$1,"")</f>
        <v>0</v>
      </c>
    </row>
    <row r="137" spans="54:56">
      <c r="BB137" s="4">
        <f>IF(球探欧赔数据录入表!C140&gt;0,球探欧赔数据录入表!C140*AY$1,"")</f>
        <v>0</v>
      </c>
      <c r="BC137" s="4">
        <f>IF(球探欧赔数据录入表!D140&gt;0,球探欧赔数据录入表!D140*AZ$1,"")</f>
        <v>0</v>
      </c>
      <c r="BD137" s="4">
        <f>IF(球探欧赔数据录入表!E140&gt;0,球探欧赔数据录入表!E140*BA$1,"")</f>
        <v>0</v>
      </c>
    </row>
    <row r="138" spans="54:56">
      <c r="BB138" s="4">
        <f>IF(球探欧赔数据录入表!C141&gt;0,球探欧赔数据录入表!C141*AY$1,"")</f>
        <v>0</v>
      </c>
      <c r="BC138" s="4">
        <f>IF(球探欧赔数据录入表!D141&gt;0,球探欧赔数据录入表!D141*AZ$1,"")</f>
        <v>0</v>
      </c>
      <c r="BD138" s="4">
        <f>IF(球探欧赔数据录入表!E141&gt;0,球探欧赔数据录入表!E141*BA$1,"")</f>
        <v>0</v>
      </c>
    </row>
    <row r="139" spans="54:56">
      <c r="BB139" s="4">
        <f>IF(球探欧赔数据录入表!C142&gt;0,球探欧赔数据录入表!C142*AY$1,"")</f>
        <v>0</v>
      </c>
      <c r="BC139" s="4">
        <f>IF(球探欧赔数据录入表!D142&gt;0,球探欧赔数据录入表!D142*AZ$1,"")</f>
        <v>0</v>
      </c>
      <c r="BD139" s="4">
        <f>IF(球探欧赔数据录入表!E142&gt;0,球探欧赔数据录入表!E142*BA$1,"")</f>
        <v>0</v>
      </c>
    </row>
    <row r="140" spans="54:56">
      <c r="BB140" s="4">
        <f>IF(球探欧赔数据录入表!C143&gt;0,球探欧赔数据录入表!C143*AY$1,"")</f>
        <v>0</v>
      </c>
      <c r="BC140" s="4">
        <f>IF(球探欧赔数据录入表!D143&gt;0,球探欧赔数据录入表!D143*AZ$1,"")</f>
        <v>0</v>
      </c>
      <c r="BD140" s="4">
        <f>IF(球探欧赔数据录入表!E143&gt;0,球探欧赔数据录入表!E143*BA$1,"")</f>
        <v>0</v>
      </c>
    </row>
    <row r="141" spans="54:56">
      <c r="BB141" s="4">
        <f>IF(球探欧赔数据录入表!C144&gt;0,球探欧赔数据录入表!C144*AY$1,"")</f>
        <v>0</v>
      </c>
      <c r="BC141" s="4">
        <f>IF(球探欧赔数据录入表!D144&gt;0,球探欧赔数据录入表!D144*AZ$1,"")</f>
        <v>0</v>
      </c>
      <c r="BD141" s="4">
        <f>IF(球探欧赔数据录入表!E144&gt;0,球探欧赔数据录入表!E144*BA$1,"")</f>
        <v>0</v>
      </c>
    </row>
    <row r="142" spans="54:56">
      <c r="BB142" s="4">
        <f>IF(球探欧赔数据录入表!C145&gt;0,球探欧赔数据录入表!C145*AY$1,"")</f>
        <v>0</v>
      </c>
      <c r="BC142" s="4">
        <f>IF(球探欧赔数据录入表!D145&gt;0,球探欧赔数据录入表!D145*AZ$1,"")</f>
        <v>0</v>
      </c>
      <c r="BD142" s="4">
        <f>IF(球探欧赔数据录入表!E145&gt;0,球探欧赔数据录入表!E145*BA$1,"")</f>
        <v>0</v>
      </c>
    </row>
    <row r="143" spans="54:56">
      <c r="BB143" s="4">
        <f>IF(球探欧赔数据录入表!C146&gt;0,球探欧赔数据录入表!C146*AY$1,"")</f>
        <v>0</v>
      </c>
      <c r="BC143" s="4">
        <f>IF(球探欧赔数据录入表!D146&gt;0,球探欧赔数据录入表!D146*AZ$1,"")</f>
        <v>0</v>
      </c>
      <c r="BD143" s="4">
        <f>IF(球探欧赔数据录入表!E146&gt;0,球探欧赔数据录入表!E146*BA$1,"")</f>
        <v>0</v>
      </c>
    </row>
    <row r="144" spans="54:56">
      <c r="BB144" s="4">
        <f>IF(球探欧赔数据录入表!C147&gt;0,球探欧赔数据录入表!C147*AY$1,"")</f>
        <v>0</v>
      </c>
      <c r="BC144" s="4">
        <f>IF(球探欧赔数据录入表!D147&gt;0,球探欧赔数据录入表!D147*AZ$1,"")</f>
        <v>0</v>
      </c>
      <c r="BD144" s="4">
        <f>IF(球探欧赔数据录入表!E147&gt;0,球探欧赔数据录入表!E147*BA$1,"")</f>
        <v>0</v>
      </c>
    </row>
    <row r="145" spans="54:56">
      <c r="BB145" s="4">
        <f>IF(球探欧赔数据录入表!C148&gt;0,球探欧赔数据录入表!C148*AY$1,"")</f>
        <v>0</v>
      </c>
      <c r="BC145" s="4">
        <f>IF(球探欧赔数据录入表!D148&gt;0,球探欧赔数据录入表!D148*AZ$1,"")</f>
        <v>0</v>
      </c>
      <c r="BD145" s="4">
        <f>IF(球探欧赔数据录入表!E148&gt;0,球探欧赔数据录入表!E148*BA$1,"")</f>
        <v>0</v>
      </c>
    </row>
    <row r="146" spans="54:56">
      <c r="BB146" s="4">
        <f>IF(球探欧赔数据录入表!C149&gt;0,球探欧赔数据录入表!C149*AY$1,"")</f>
        <v>0</v>
      </c>
      <c r="BC146" s="4">
        <f>IF(球探欧赔数据录入表!D149&gt;0,球探欧赔数据录入表!D149*AZ$1,"")</f>
        <v>0</v>
      </c>
      <c r="BD146" s="4">
        <f>IF(球探欧赔数据录入表!E149&gt;0,球探欧赔数据录入表!E149*BA$1,"")</f>
        <v>0</v>
      </c>
    </row>
    <row r="147" spans="54:56">
      <c r="BB147" s="4">
        <f>IF(球探欧赔数据录入表!C150&gt;0,球探欧赔数据录入表!C150*AY$1,"")</f>
        <v>0</v>
      </c>
      <c r="BC147" s="4">
        <f>IF(球探欧赔数据录入表!D150&gt;0,球探欧赔数据录入表!D150*AZ$1,"")</f>
        <v>0</v>
      </c>
      <c r="BD147" s="4">
        <f>IF(球探欧赔数据录入表!E150&gt;0,球探欧赔数据录入表!E150*BA$1,"")</f>
        <v>0</v>
      </c>
    </row>
    <row r="148" spans="54:56">
      <c r="BB148" s="4">
        <f>IF(球探欧赔数据录入表!C151&gt;0,球探欧赔数据录入表!C151*AY$1,"")</f>
        <v>0</v>
      </c>
      <c r="BC148" s="4">
        <f>IF(球探欧赔数据录入表!D151&gt;0,球探欧赔数据录入表!D151*AZ$1,"")</f>
        <v>0</v>
      </c>
      <c r="BD148" s="4">
        <f>IF(球探欧赔数据录入表!E151&gt;0,球探欧赔数据录入表!E151*BA$1,"")</f>
        <v>0</v>
      </c>
    </row>
    <row r="149" spans="54:56">
      <c r="BB149" s="4">
        <f>IF(球探欧赔数据录入表!C152&gt;0,球探欧赔数据录入表!C152*AY$1,"")</f>
        <v>0</v>
      </c>
      <c r="BC149" s="4">
        <f>IF(球探欧赔数据录入表!D152&gt;0,球探欧赔数据录入表!D152*AZ$1,"")</f>
        <v>0</v>
      </c>
      <c r="BD149" s="4">
        <f>IF(球探欧赔数据录入表!E152&gt;0,球探欧赔数据录入表!E152*BA$1,"")</f>
        <v>0</v>
      </c>
    </row>
    <row r="150" spans="54:56">
      <c r="BB150" s="4">
        <f>IF(球探欧赔数据录入表!C153&gt;0,球探欧赔数据录入表!C153*AY$1,"")</f>
        <v>0</v>
      </c>
      <c r="BC150" s="4">
        <f>IF(球探欧赔数据录入表!D153&gt;0,球探欧赔数据录入表!D153*AZ$1,"")</f>
        <v>0</v>
      </c>
      <c r="BD150" s="4">
        <f>IF(球探欧赔数据录入表!E153&gt;0,球探欧赔数据录入表!E153*BA$1,"")</f>
        <v>0</v>
      </c>
    </row>
    <row r="151" spans="54:56">
      <c r="BB151" s="4">
        <f>IF(球探欧赔数据录入表!C154&gt;0,球探欧赔数据录入表!C154*AY$1,"")</f>
        <v>0</v>
      </c>
      <c r="BC151" s="4">
        <f>IF(球探欧赔数据录入表!D154&gt;0,球探欧赔数据录入表!D154*AZ$1,"")</f>
        <v>0</v>
      </c>
      <c r="BD151" s="4">
        <f>IF(球探欧赔数据录入表!E154&gt;0,球探欧赔数据录入表!E154*BA$1,"")</f>
        <v>0</v>
      </c>
    </row>
    <row r="152" spans="54:56">
      <c r="BB152" s="4">
        <f>IF(球探欧赔数据录入表!C155&gt;0,球探欧赔数据录入表!C155*AY$1,"")</f>
        <v>0</v>
      </c>
      <c r="BC152" s="4">
        <f>IF(球探欧赔数据录入表!D155&gt;0,球探欧赔数据录入表!D155*AZ$1,"")</f>
        <v>0</v>
      </c>
      <c r="BD152" s="4">
        <f>IF(球探欧赔数据录入表!E155&gt;0,球探欧赔数据录入表!E155*BA$1,"")</f>
        <v>0</v>
      </c>
    </row>
    <row r="153" spans="54:56">
      <c r="BB153" s="4">
        <f>IF(球探欧赔数据录入表!C156&gt;0,球探欧赔数据录入表!C156*AY$1,"")</f>
        <v>0</v>
      </c>
      <c r="BC153" s="4">
        <f>IF(球探欧赔数据录入表!D156&gt;0,球探欧赔数据录入表!D156*AZ$1,"")</f>
        <v>0</v>
      </c>
      <c r="BD153" s="4">
        <f>IF(球探欧赔数据录入表!E156&gt;0,球探欧赔数据录入表!E156*BA$1,"")</f>
        <v>0</v>
      </c>
    </row>
    <row r="154" spans="54:56">
      <c r="BB154" s="4">
        <f>IF(球探欧赔数据录入表!C157&gt;0,球探欧赔数据录入表!C157*AY$1,"")</f>
        <v>0</v>
      </c>
      <c r="BC154" s="4">
        <f>IF(球探欧赔数据录入表!D157&gt;0,球探欧赔数据录入表!D157*AZ$1,"")</f>
        <v>0</v>
      </c>
      <c r="BD154" s="4">
        <f>IF(球探欧赔数据录入表!E157&gt;0,球探欧赔数据录入表!E157*BA$1,"")</f>
        <v>0</v>
      </c>
    </row>
    <row r="155" spans="54:56">
      <c r="BB155" s="4">
        <f>IF(球探欧赔数据录入表!C158&gt;0,球探欧赔数据录入表!C158*AY$1,"")</f>
        <v>0</v>
      </c>
      <c r="BC155" s="4">
        <f>IF(球探欧赔数据录入表!D158&gt;0,球探欧赔数据录入表!D158*AZ$1,"")</f>
        <v>0</v>
      </c>
      <c r="BD155" s="4">
        <f>IF(球探欧赔数据录入表!E158&gt;0,球探欧赔数据录入表!E158*BA$1,"")</f>
        <v>0</v>
      </c>
    </row>
    <row r="156" spans="54:56">
      <c r="BB156" s="4">
        <f>IF(球探欧赔数据录入表!C159&gt;0,球探欧赔数据录入表!C159*AY$1,"")</f>
        <v>0</v>
      </c>
      <c r="BC156" s="4">
        <f>IF(球探欧赔数据录入表!D159&gt;0,球探欧赔数据录入表!D159*AZ$1,"")</f>
        <v>0</v>
      </c>
      <c r="BD156" s="4">
        <f>IF(球探欧赔数据录入表!E159&gt;0,球探欧赔数据录入表!E159*BA$1,"")</f>
        <v>0</v>
      </c>
    </row>
    <row r="157" spans="54:56">
      <c r="BB157" s="4">
        <f>IF(球探欧赔数据录入表!C160&gt;0,球探欧赔数据录入表!C160*AY$1,"")</f>
        <v>0</v>
      </c>
      <c r="BC157" s="4">
        <f>IF(球探欧赔数据录入表!D160&gt;0,球探欧赔数据录入表!D160*AZ$1,"")</f>
        <v>0</v>
      </c>
      <c r="BD157" s="4">
        <f>IF(球探欧赔数据录入表!E160&gt;0,球探欧赔数据录入表!E160*BA$1,"")</f>
        <v>0</v>
      </c>
    </row>
    <row r="158" spans="54:56">
      <c r="BB158" s="4">
        <f>IF(球探欧赔数据录入表!C161&gt;0,球探欧赔数据录入表!C161*AY$1,"")</f>
        <v>0</v>
      </c>
      <c r="BC158" s="4">
        <f>IF(球探欧赔数据录入表!D161&gt;0,球探欧赔数据录入表!D161*AZ$1,"")</f>
        <v>0</v>
      </c>
      <c r="BD158" s="4">
        <f>IF(球探欧赔数据录入表!E161&gt;0,球探欧赔数据录入表!E161*BA$1,"")</f>
        <v>0</v>
      </c>
    </row>
    <row r="159" spans="54:56">
      <c r="BB159" s="4">
        <f>IF(球探欧赔数据录入表!C162&gt;0,球探欧赔数据录入表!C162*AY$1,"")</f>
        <v>0</v>
      </c>
      <c r="BC159" s="4">
        <f>IF(球探欧赔数据录入表!D162&gt;0,球探欧赔数据录入表!D162*AZ$1,"")</f>
        <v>0</v>
      </c>
      <c r="BD159" s="4">
        <f>IF(球探欧赔数据录入表!E162&gt;0,球探欧赔数据录入表!E162*BA$1,"")</f>
        <v>0</v>
      </c>
    </row>
    <row r="160" spans="54:56">
      <c r="BB160" s="4">
        <f>IF(球探欧赔数据录入表!C163&gt;0,球探欧赔数据录入表!C163*AY$1,"")</f>
        <v>0</v>
      </c>
      <c r="BC160" s="4">
        <f>IF(球探欧赔数据录入表!D163&gt;0,球探欧赔数据录入表!D163*AZ$1,"")</f>
        <v>0</v>
      </c>
      <c r="BD160" s="4">
        <f>IF(球探欧赔数据录入表!E163&gt;0,球探欧赔数据录入表!E163*BA$1,"")</f>
        <v>0</v>
      </c>
    </row>
    <row r="161" spans="54:56">
      <c r="BB161" s="4">
        <f>IF(球探欧赔数据录入表!C164&gt;0,球探欧赔数据录入表!C164*AY$1,"")</f>
        <v>0</v>
      </c>
      <c r="BC161" s="4">
        <f>IF(球探欧赔数据录入表!D164&gt;0,球探欧赔数据录入表!D164*AZ$1,"")</f>
        <v>0</v>
      </c>
      <c r="BD161" s="4">
        <f>IF(球探欧赔数据录入表!E164&gt;0,球探欧赔数据录入表!E164*BA$1,"")</f>
        <v>0</v>
      </c>
    </row>
    <row r="162" spans="54:56">
      <c r="BB162" s="4">
        <f>IF(球探欧赔数据录入表!C165&gt;0,球探欧赔数据录入表!C165*AY$1,"")</f>
        <v>0</v>
      </c>
      <c r="BC162" s="4">
        <f>IF(球探欧赔数据录入表!D165&gt;0,球探欧赔数据录入表!D165*AZ$1,"")</f>
        <v>0</v>
      </c>
      <c r="BD162" s="4">
        <f>IF(球探欧赔数据录入表!E165&gt;0,球探欧赔数据录入表!E165*BA$1,"")</f>
        <v>0</v>
      </c>
    </row>
    <row r="163" spans="54:56">
      <c r="BB163" s="4">
        <f>IF(球探欧赔数据录入表!C166&gt;0,球探欧赔数据录入表!C166*AY$1,"")</f>
        <v>0</v>
      </c>
      <c r="BC163" s="4">
        <f>IF(球探欧赔数据录入表!D166&gt;0,球探欧赔数据录入表!D166*AZ$1,"")</f>
        <v>0</v>
      </c>
      <c r="BD163" s="4">
        <f>IF(球探欧赔数据录入表!E166&gt;0,球探欧赔数据录入表!E166*BA$1,"")</f>
        <v>0</v>
      </c>
    </row>
    <row r="164" spans="54:56">
      <c r="BB164" s="4">
        <f>IF(球探欧赔数据录入表!C167&gt;0,球探欧赔数据录入表!C167*AY$1,"")</f>
        <v>0</v>
      </c>
      <c r="BC164" s="4">
        <f>IF(球探欧赔数据录入表!D167&gt;0,球探欧赔数据录入表!D167*AZ$1,"")</f>
        <v>0</v>
      </c>
      <c r="BD164" s="4">
        <f>IF(球探欧赔数据录入表!E167&gt;0,球探欧赔数据录入表!E167*BA$1,"")</f>
        <v>0</v>
      </c>
    </row>
    <row r="165" spans="54:56">
      <c r="BB165" s="4">
        <f>IF(球探欧赔数据录入表!C168&gt;0,球探欧赔数据录入表!C168*AY$1,"")</f>
        <v>0</v>
      </c>
      <c r="BC165" s="4">
        <f>IF(球探欧赔数据录入表!D168&gt;0,球探欧赔数据录入表!D168*AZ$1,"")</f>
        <v>0</v>
      </c>
      <c r="BD165" s="4">
        <f>IF(球探欧赔数据录入表!E168&gt;0,球探欧赔数据录入表!E168*BA$1,"")</f>
        <v>0</v>
      </c>
    </row>
    <row r="166" spans="54:56">
      <c r="BB166" s="4">
        <f>IF(球探欧赔数据录入表!C169&gt;0,球探欧赔数据录入表!C169*AY$1,"")</f>
        <v>0</v>
      </c>
      <c r="BC166" s="4">
        <f>IF(球探欧赔数据录入表!D169&gt;0,球探欧赔数据录入表!D169*AZ$1,"")</f>
        <v>0</v>
      </c>
      <c r="BD166" s="4">
        <f>IF(球探欧赔数据录入表!E169&gt;0,球探欧赔数据录入表!E169*BA$1,"")</f>
        <v>0</v>
      </c>
    </row>
    <row r="167" spans="54:56">
      <c r="BB167" s="4">
        <f>IF(球探欧赔数据录入表!C170&gt;0,球探欧赔数据录入表!C170*AY$1,"")</f>
        <v>0</v>
      </c>
      <c r="BC167" s="4">
        <f>IF(球探欧赔数据录入表!D170&gt;0,球探欧赔数据录入表!D170*AZ$1,"")</f>
        <v>0</v>
      </c>
      <c r="BD167" s="4">
        <f>IF(球探欧赔数据录入表!E170&gt;0,球探欧赔数据录入表!E170*BA$1,"")</f>
        <v>0</v>
      </c>
    </row>
    <row r="168" spans="54:56">
      <c r="BB168" s="4">
        <f>IF(球探欧赔数据录入表!C171&gt;0,球探欧赔数据录入表!C171*AY$1,"")</f>
        <v>0</v>
      </c>
      <c r="BC168" s="4">
        <f>IF(球探欧赔数据录入表!D171&gt;0,球探欧赔数据录入表!D171*AZ$1,"")</f>
        <v>0</v>
      </c>
      <c r="BD168" s="4">
        <f>IF(球探欧赔数据录入表!E171&gt;0,球探欧赔数据录入表!E171*BA$1,"")</f>
        <v>0</v>
      </c>
    </row>
    <row r="169" spans="54:56">
      <c r="BB169" s="4">
        <f>IF(球探欧赔数据录入表!C172&gt;0,球探欧赔数据录入表!C172*AY$1,"")</f>
        <v>0</v>
      </c>
      <c r="BC169" s="4">
        <f>IF(球探欧赔数据录入表!D172&gt;0,球探欧赔数据录入表!D172*AZ$1,"")</f>
        <v>0</v>
      </c>
      <c r="BD169" s="4">
        <f>IF(球探欧赔数据录入表!E172&gt;0,球探欧赔数据录入表!E172*BA$1,"")</f>
        <v>0</v>
      </c>
    </row>
    <row r="170" spans="54:56">
      <c r="BB170" s="4">
        <f>IF(球探欧赔数据录入表!C173&gt;0,球探欧赔数据录入表!C173*AY$1,"")</f>
        <v>0</v>
      </c>
      <c r="BC170" s="4">
        <f>IF(球探欧赔数据录入表!D173&gt;0,球探欧赔数据录入表!D173*AZ$1,"")</f>
        <v>0</v>
      </c>
      <c r="BD170" s="4">
        <f>IF(球探欧赔数据录入表!E173&gt;0,球探欧赔数据录入表!E173*BA$1,"")</f>
        <v>0</v>
      </c>
    </row>
    <row r="171" spans="54:56">
      <c r="BB171" s="4">
        <f>IF(球探欧赔数据录入表!C174&gt;0,球探欧赔数据录入表!C174*AY$1,"")</f>
        <v>0</v>
      </c>
      <c r="BC171" s="4">
        <f>IF(球探欧赔数据录入表!D174&gt;0,球探欧赔数据录入表!D174*AZ$1,"")</f>
        <v>0</v>
      </c>
      <c r="BD171" s="4">
        <f>IF(球探欧赔数据录入表!E174&gt;0,球探欧赔数据录入表!E174*BA$1,"")</f>
        <v>0</v>
      </c>
    </row>
    <row r="172" spans="54:56">
      <c r="BB172" s="4">
        <f>IF(球探欧赔数据录入表!C175&gt;0,球探欧赔数据录入表!C175*AY$1,"")</f>
        <v>0</v>
      </c>
      <c r="BC172" s="4">
        <f>IF(球探欧赔数据录入表!D175&gt;0,球探欧赔数据录入表!D175*AZ$1,"")</f>
        <v>0</v>
      </c>
      <c r="BD172" s="4">
        <f>IF(球探欧赔数据录入表!E175&gt;0,球探欧赔数据录入表!E175*BA$1,"")</f>
        <v>0</v>
      </c>
    </row>
    <row r="173" spans="54:56">
      <c r="BB173" s="4">
        <f>IF(球探欧赔数据录入表!C176&gt;0,球探欧赔数据录入表!C176*AY$1,"")</f>
        <v>0</v>
      </c>
      <c r="BC173" s="4">
        <f>IF(球探欧赔数据录入表!D176&gt;0,球探欧赔数据录入表!D176*AZ$1,"")</f>
        <v>0</v>
      </c>
      <c r="BD173" s="4">
        <f>IF(球探欧赔数据录入表!E176&gt;0,球探欧赔数据录入表!E176*BA$1,"")</f>
        <v>0</v>
      </c>
    </row>
    <row r="174" spans="54:56">
      <c r="BB174" s="4">
        <f>IF(球探欧赔数据录入表!C177&gt;0,球探欧赔数据录入表!C177*AY$1,"")</f>
        <v>0</v>
      </c>
      <c r="BC174" s="4">
        <f>IF(球探欧赔数据录入表!D177&gt;0,球探欧赔数据录入表!D177*AZ$1,"")</f>
        <v>0</v>
      </c>
      <c r="BD174" s="4">
        <f>IF(球探欧赔数据录入表!E177&gt;0,球探欧赔数据录入表!E177*BA$1,"")</f>
        <v>0</v>
      </c>
    </row>
    <row r="175" spans="54:56">
      <c r="BB175" s="4">
        <f>IF(球探欧赔数据录入表!C178&gt;0,球探欧赔数据录入表!C178*AY$1,"")</f>
        <v>0</v>
      </c>
      <c r="BC175" s="4">
        <f>IF(球探欧赔数据录入表!D178&gt;0,球探欧赔数据录入表!D178*AZ$1,"")</f>
        <v>0</v>
      </c>
      <c r="BD175" s="4">
        <f>IF(球探欧赔数据录入表!E178&gt;0,球探欧赔数据录入表!E178*BA$1,"")</f>
        <v>0</v>
      </c>
    </row>
    <row r="176" spans="54:56">
      <c r="BB176" s="4">
        <f>IF(球探欧赔数据录入表!C179&gt;0,球探欧赔数据录入表!C179*AY$1,"")</f>
        <v>0</v>
      </c>
      <c r="BC176" s="4">
        <f>IF(球探欧赔数据录入表!D179&gt;0,球探欧赔数据录入表!D179*AZ$1,"")</f>
        <v>0</v>
      </c>
      <c r="BD176" s="4">
        <f>IF(球探欧赔数据录入表!E179&gt;0,球探欧赔数据录入表!E179*BA$1,"")</f>
        <v>0</v>
      </c>
    </row>
    <row r="177" spans="54:56">
      <c r="BB177" s="4">
        <f>IF(球探欧赔数据录入表!C180&gt;0,球探欧赔数据录入表!C180*AY$1,"")</f>
        <v>0</v>
      </c>
      <c r="BC177" s="4">
        <f>IF(球探欧赔数据录入表!D180&gt;0,球探欧赔数据录入表!D180*AZ$1,"")</f>
        <v>0</v>
      </c>
      <c r="BD177" s="4">
        <f>IF(球探欧赔数据录入表!E180&gt;0,球探欧赔数据录入表!E180*BA$1,"")</f>
        <v>0</v>
      </c>
    </row>
    <row r="178" spans="54:56">
      <c r="BB178" s="4">
        <f>IF(球探欧赔数据录入表!C181&gt;0,球探欧赔数据录入表!C181*AY$1,"")</f>
        <v>0</v>
      </c>
      <c r="BC178" s="4">
        <f>IF(球探欧赔数据录入表!D181&gt;0,球探欧赔数据录入表!D181*AZ$1,"")</f>
        <v>0</v>
      </c>
      <c r="BD178" s="4">
        <f>IF(球探欧赔数据录入表!E181&gt;0,球探欧赔数据录入表!E181*BA$1,"")</f>
        <v>0</v>
      </c>
    </row>
    <row r="179" spans="54:56">
      <c r="BB179" s="4">
        <f>IF(球探欧赔数据录入表!C182&gt;0,球探欧赔数据录入表!C182*AY$1,"")</f>
        <v>0</v>
      </c>
      <c r="BC179" s="4">
        <f>IF(球探欧赔数据录入表!D182&gt;0,球探欧赔数据录入表!D182*AZ$1,"")</f>
        <v>0</v>
      </c>
      <c r="BD179" s="4">
        <f>IF(球探欧赔数据录入表!E182&gt;0,球探欧赔数据录入表!E182*BA$1,"")</f>
        <v>0</v>
      </c>
    </row>
    <row r="180" spans="54:56">
      <c r="BB180" s="4">
        <f>IF(球探欧赔数据录入表!C183&gt;0,球探欧赔数据录入表!C183*AY$1,"")</f>
        <v>0</v>
      </c>
      <c r="BC180" s="4">
        <f>IF(球探欧赔数据录入表!D183&gt;0,球探欧赔数据录入表!D183*AZ$1,"")</f>
        <v>0</v>
      </c>
      <c r="BD180" s="4">
        <f>IF(球探欧赔数据录入表!E183&gt;0,球探欧赔数据录入表!E183*BA$1,"")</f>
        <v>0</v>
      </c>
    </row>
    <row r="181" spans="54:56">
      <c r="BB181" s="4">
        <f>IF(球探欧赔数据录入表!C184&gt;0,球探欧赔数据录入表!C184*AY$1,"")</f>
        <v>0</v>
      </c>
      <c r="BC181" s="4">
        <f>IF(球探欧赔数据录入表!D184&gt;0,球探欧赔数据录入表!D184*AZ$1,"")</f>
        <v>0</v>
      </c>
      <c r="BD181" s="4">
        <f>IF(球探欧赔数据录入表!E184&gt;0,球探欧赔数据录入表!E184*BA$1,"")</f>
        <v>0</v>
      </c>
    </row>
    <row r="182" spans="54:56">
      <c r="BB182" s="4">
        <f>IF(球探欧赔数据录入表!C185&gt;0,球探欧赔数据录入表!C185*AY$1,"")</f>
        <v>0</v>
      </c>
      <c r="BC182" s="4">
        <f>IF(球探欧赔数据录入表!D185&gt;0,球探欧赔数据录入表!D185*AZ$1,"")</f>
        <v>0</v>
      </c>
      <c r="BD182" s="4">
        <f>IF(球探欧赔数据录入表!E185&gt;0,球探欧赔数据录入表!E185*BA$1,"")</f>
        <v>0</v>
      </c>
    </row>
    <row r="183" spans="54:56">
      <c r="BB183" s="4">
        <f>IF(球探欧赔数据录入表!C186&gt;0,球探欧赔数据录入表!C186*AY$1,"")</f>
        <v>0</v>
      </c>
      <c r="BC183" s="4">
        <f>IF(球探欧赔数据录入表!D186&gt;0,球探欧赔数据录入表!D186*AZ$1,"")</f>
        <v>0</v>
      </c>
      <c r="BD183" s="4">
        <f>IF(球探欧赔数据录入表!E186&gt;0,球探欧赔数据录入表!E186*BA$1,"")</f>
        <v>0</v>
      </c>
    </row>
    <row r="184" spans="54:56">
      <c r="BB184" s="4">
        <f>IF(球探欧赔数据录入表!C187&gt;0,球探欧赔数据录入表!C187*AY$1,"")</f>
        <v>0</v>
      </c>
      <c r="BC184" s="4">
        <f>IF(球探欧赔数据录入表!D187&gt;0,球探欧赔数据录入表!D187*AZ$1,"")</f>
        <v>0</v>
      </c>
      <c r="BD184" s="4">
        <f>IF(球探欧赔数据录入表!E187&gt;0,球探欧赔数据录入表!E187*BA$1,"")</f>
        <v>0</v>
      </c>
    </row>
    <row r="185" spans="54:56">
      <c r="BB185" s="4">
        <f>IF(球探欧赔数据录入表!C188&gt;0,球探欧赔数据录入表!C188*AY$1,"")</f>
        <v>0</v>
      </c>
      <c r="BC185" s="4">
        <f>IF(球探欧赔数据录入表!D188&gt;0,球探欧赔数据录入表!D188*AZ$1,"")</f>
        <v>0</v>
      </c>
      <c r="BD185" s="4">
        <f>IF(球探欧赔数据录入表!E188&gt;0,球探欧赔数据录入表!E188*BA$1,"")</f>
        <v>0</v>
      </c>
    </row>
    <row r="186" spans="54:56">
      <c r="BB186" s="4">
        <f>IF(球探欧赔数据录入表!C189&gt;0,球探欧赔数据录入表!C189*AY$1,"")</f>
        <v>0</v>
      </c>
      <c r="BC186" s="4">
        <f>IF(球探欧赔数据录入表!D189&gt;0,球探欧赔数据录入表!D189*AZ$1,"")</f>
        <v>0</v>
      </c>
      <c r="BD186" s="4">
        <f>IF(球探欧赔数据录入表!E189&gt;0,球探欧赔数据录入表!E189*BA$1,"")</f>
        <v>0</v>
      </c>
    </row>
    <row r="187" spans="54:56">
      <c r="BB187" s="4">
        <f>IF(球探欧赔数据录入表!C190&gt;0,球探欧赔数据录入表!C190*AY$1,"")</f>
        <v>0</v>
      </c>
      <c r="BC187" s="4">
        <f>IF(球探欧赔数据录入表!D190&gt;0,球探欧赔数据录入表!D190*AZ$1,"")</f>
        <v>0</v>
      </c>
      <c r="BD187" s="4">
        <f>IF(球探欧赔数据录入表!E190&gt;0,球探欧赔数据录入表!E190*BA$1,"")</f>
        <v>0</v>
      </c>
    </row>
    <row r="188" spans="54:56">
      <c r="BB188" s="4">
        <f>IF(球探欧赔数据录入表!C191&gt;0,球探欧赔数据录入表!C191*AY$1,"")</f>
        <v>0</v>
      </c>
      <c r="BC188" s="4">
        <f>IF(球探欧赔数据录入表!D191&gt;0,球探欧赔数据录入表!D191*AZ$1,"")</f>
        <v>0</v>
      </c>
      <c r="BD188" s="4">
        <f>IF(球探欧赔数据录入表!E191&gt;0,球探欧赔数据录入表!E191*BA$1,"")</f>
        <v>0</v>
      </c>
    </row>
    <row r="189" spans="54:56">
      <c r="BB189" s="4">
        <f>IF(球探欧赔数据录入表!C192&gt;0,球探欧赔数据录入表!C192*AY$1,"")</f>
        <v>0</v>
      </c>
      <c r="BC189" s="4">
        <f>IF(球探欧赔数据录入表!D192&gt;0,球探欧赔数据录入表!D192*AZ$1,"")</f>
        <v>0</v>
      </c>
      <c r="BD189" s="4">
        <f>IF(球探欧赔数据录入表!E192&gt;0,球探欧赔数据录入表!E192*BA$1,"")</f>
        <v>0</v>
      </c>
    </row>
    <row r="190" spans="54:56">
      <c r="BB190" s="4">
        <f>IF(球探欧赔数据录入表!C193&gt;0,球探欧赔数据录入表!C193*AY$1,"")</f>
        <v>0</v>
      </c>
      <c r="BC190" s="4">
        <f>IF(球探欧赔数据录入表!D193&gt;0,球探欧赔数据录入表!D193*AZ$1,"")</f>
        <v>0</v>
      </c>
      <c r="BD190" s="4">
        <f>IF(球探欧赔数据录入表!E193&gt;0,球探欧赔数据录入表!E193*BA$1,"")</f>
        <v>0</v>
      </c>
    </row>
    <row r="191" spans="54:56">
      <c r="BB191" s="4">
        <f>IF(球探欧赔数据录入表!C194&gt;0,球探欧赔数据录入表!C194*AY$1,"")</f>
        <v>0</v>
      </c>
      <c r="BC191" s="4">
        <f>IF(球探欧赔数据录入表!D194&gt;0,球探欧赔数据录入表!D194*AZ$1,"")</f>
        <v>0</v>
      </c>
      <c r="BD191" s="4">
        <f>IF(球探欧赔数据录入表!E194&gt;0,球探欧赔数据录入表!E194*BA$1,"")</f>
        <v>0</v>
      </c>
    </row>
    <row r="192" spans="54:56">
      <c r="BB192" s="4">
        <f>IF(球探欧赔数据录入表!C195&gt;0,球探欧赔数据录入表!C195*AY$1,"")</f>
        <v>0</v>
      </c>
      <c r="BC192" s="4">
        <f>IF(球探欧赔数据录入表!D195&gt;0,球探欧赔数据录入表!D195*AZ$1,"")</f>
        <v>0</v>
      </c>
      <c r="BD192" s="4">
        <f>IF(球探欧赔数据录入表!E195&gt;0,球探欧赔数据录入表!E195*BA$1,"")</f>
        <v>0</v>
      </c>
    </row>
    <row r="193" spans="54:56">
      <c r="BB193" s="4">
        <f>IF(球探欧赔数据录入表!C196&gt;0,球探欧赔数据录入表!C196*AY$1,"")</f>
        <v>0</v>
      </c>
      <c r="BC193" s="4">
        <f>IF(球探欧赔数据录入表!D196&gt;0,球探欧赔数据录入表!D196*AZ$1,"")</f>
        <v>0</v>
      </c>
      <c r="BD193" s="4">
        <f>IF(球探欧赔数据录入表!E196&gt;0,球探欧赔数据录入表!E196*BA$1,"")</f>
        <v>0</v>
      </c>
    </row>
    <row r="194" spans="54:56">
      <c r="BB194" s="4">
        <f>IF(球探欧赔数据录入表!C197&gt;0,球探欧赔数据录入表!C197*AY$1,"")</f>
        <v>0</v>
      </c>
      <c r="BC194" s="4">
        <f>IF(球探欧赔数据录入表!D197&gt;0,球探欧赔数据录入表!D197*AZ$1,"")</f>
        <v>0</v>
      </c>
      <c r="BD194" s="4">
        <f>IF(球探欧赔数据录入表!E197&gt;0,球探欧赔数据录入表!E197*BA$1,"")</f>
        <v>0</v>
      </c>
    </row>
    <row r="195" spans="54:56">
      <c r="BB195" s="4">
        <f>IF(球探欧赔数据录入表!C198&gt;0,球探欧赔数据录入表!C198*AY$1,"")</f>
        <v>0</v>
      </c>
      <c r="BC195" s="4">
        <f>IF(球探欧赔数据录入表!D198&gt;0,球探欧赔数据录入表!D198*AZ$1,"")</f>
        <v>0</v>
      </c>
      <c r="BD195" s="4">
        <f>IF(球探欧赔数据录入表!E198&gt;0,球探欧赔数据录入表!E198*BA$1,"")</f>
        <v>0</v>
      </c>
    </row>
    <row r="196" spans="54:56">
      <c r="BB196" s="4">
        <f>IF(球探欧赔数据录入表!C199&gt;0,球探欧赔数据录入表!C199*AY$1,"")</f>
        <v>0</v>
      </c>
      <c r="BC196" s="4">
        <f>IF(球探欧赔数据录入表!D199&gt;0,球探欧赔数据录入表!D199*AZ$1,"")</f>
        <v>0</v>
      </c>
      <c r="BD196" s="4">
        <f>IF(球探欧赔数据录入表!E199&gt;0,球探欧赔数据录入表!E199*BA$1,"")</f>
        <v>0</v>
      </c>
    </row>
    <row r="197" spans="54:56">
      <c r="BB197" s="4">
        <f>IF(球探欧赔数据录入表!C200&gt;0,球探欧赔数据录入表!C200*AY$1,"")</f>
        <v>0</v>
      </c>
      <c r="BC197" s="4">
        <f>IF(球探欧赔数据录入表!D200&gt;0,球探欧赔数据录入表!D200*AZ$1,"")</f>
        <v>0</v>
      </c>
      <c r="BD197" s="4">
        <f>IF(球探欧赔数据录入表!E200&gt;0,球探欧赔数据录入表!E200*BA$1,"")</f>
        <v>0</v>
      </c>
    </row>
    <row r="198" spans="54:56">
      <c r="BB198" s="4">
        <f>IF(球探欧赔数据录入表!C201&gt;0,球探欧赔数据录入表!C201*AY$1,"")</f>
        <v>0</v>
      </c>
      <c r="BC198" s="4">
        <f>IF(球探欧赔数据录入表!D201&gt;0,球探欧赔数据录入表!D201*AZ$1,"")</f>
        <v>0</v>
      </c>
      <c r="BD198" s="4">
        <f>IF(球探欧赔数据录入表!E201&gt;0,球探欧赔数据录入表!E201*BA$1,"")</f>
        <v>0</v>
      </c>
    </row>
    <row r="199" spans="54:56">
      <c r="BB199" s="4">
        <f>IF(球探欧赔数据录入表!C202&gt;0,球探欧赔数据录入表!C202*AY$1,"")</f>
        <v>0</v>
      </c>
      <c r="BC199" s="4">
        <f>IF(球探欧赔数据录入表!D202&gt;0,球探欧赔数据录入表!D202*AZ$1,"")</f>
        <v>0</v>
      </c>
      <c r="BD199" s="4">
        <f>IF(球探欧赔数据录入表!E202&gt;0,球探欧赔数据录入表!E202*BA$1,"")</f>
        <v>0</v>
      </c>
    </row>
    <row r="200" spans="54:56">
      <c r="BB200" s="4">
        <f>IF(球探欧赔数据录入表!C203&gt;0,球探欧赔数据录入表!C203*AY$1,"")</f>
        <v>0</v>
      </c>
      <c r="BC200" s="4">
        <f>IF(球探欧赔数据录入表!D203&gt;0,球探欧赔数据录入表!D203*AZ$1,"")</f>
        <v>0</v>
      </c>
      <c r="BD200" s="4">
        <f>IF(球探欧赔数据录入表!E203&gt;0,球探欧赔数据录入表!E203*BA$1,"")</f>
        <v>0</v>
      </c>
    </row>
    <row r="201" spans="54:56">
      <c r="BB201" s="4">
        <f>IF(球探欧赔数据录入表!C204&gt;0,球探欧赔数据录入表!C204*AY$1,"")</f>
        <v>0</v>
      </c>
      <c r="BC201" s="4">
        <f>IF(球探欧赔数据录入表!D204&gt;0,球探欧赔数据录入表!D204*AZ$1,"")</f>
        <v>0</v>
      </c>
      <c r="BD201" s="4">
        <f>IF(球探欧赔数据录入表!E204&gt;0,球探欧赔数据录入表!E204*BA$1,"")</f>
        <v>0</v>
      </c>
    </row>
    <row r="202" spans="54:56">
      <c r="BB202" s="4">
        <f>IF(球探欧赔数据录入表!C205&gt;0,球探欧赔数据录入表!C205*AY$1,"")</f>
        <v>0</v>
      </c>
      <c r="BC202" s="4">
        <f>IF(球探欧赔数据录入表!D205&gt;0,球探欧赔数据录入表!D205*AZ$1,"")</f>
        <v>0</v>
      </c>
      <c r="BD202" s="4">
        <f>IF(球探欧赔数据录入表!E205&gt;0,球探欧赔数据录入表!E205*BA$1,"")</f>
        <v>0</v>
      </c>
    </row>
    <row r="203" spans="54:56">
      <c r="BB203" s="4">
        <f>IF(球探欧赔数据录入表!C206&gt;0,球探欧赔数据录入表!C206*AY$1,"")</f>
        <v>0</v>
      </c>
      <c r="BC203" s="4">
        <f>IF(球探欧赔数据录入表!D206&gt;0,球探欧赔数据录入表!D206*AZ$1,"")</f>
        <v>0</v>
      </c>
      <c r="BD203" s="4">
        <f>IF(球探欧赔数据录入表!E206&gt;0,球探欧赔数据录入表!E206*BA$1,"")</f>
        <v>0</v>
      </c>
    </row>
    <row r="204" spans="54:56">
      <c r="BB204" s="4">
        <f>IF(球探欧赔数据录入表!C207&gt;0,球探欧赔数据录入表!C207*AY$1,"")</f>
        <v>0</v>
      </c>
      <c r="BC204" s="4">
        <f>IF(球探欧赔数据录入表!D207&gt;0,球探欧赔数据录入表!D207*AZ$1,"")</f>
        <v>0</v>
      </c>
      <c r="BD204" s="4">
        <f>IF(球探欧赔数据录入表!E207&gt;0,球探欧赔数据录入表!E207*BA$1,"")</f>
        <v>0</v>
      </c>
    </row>
    <row r="205" spans="54:56">
      <c r="BB205" s="4">
        <f>IF(球探欧赔数据录入表!C208&gt;0,球探欧赔数据录入表!C208*AY$1,"")</f>
        <v>0</v>
      </c>
      <c r="BC205" s="4">
        <f>IF(球探欧赔数据录入表!D208&gt;0,球探欧赔数据录入表!D208*AZ$1,"")</f>
        <v>0</v>
      </c>
      <c r="BD205" s="4">
        <f>IF(球探欧赔数据录入表!E208&gt;0,球探欧赔数据录入表!E208*BA$1,"")</f>
        <v>0</v>
      </c>
    </row>
    <row r="206" spans="54:56">
      <c r="BB206" s="4">
        <f>IF(球探欧赔数据录入表!C209&gt;0,球探欧赔数据录入表!C209*AY$1,"")</f>
        <v>0</v>
      </c>
      <c r="BC206" s="4">
        <f>IF(球探欧赔数据录入表!D209&gt;0,球探欧赔数据录入表!D209*AZ$1,"")</f>
        <v>0</v>
      </c>
      <c r="BD206" s="4">
        <f>IF(球探欧赔数据录入表!E209&gt;0,球探欧赔数据录入表!E209*BA$1,"")</f>
        <v>0</v>
      </c>
    </row>
    <row r="207" spans="54:56">
      <c r="BB207" s="4">
        <f>IF(球探欧赔数据录入表!C210&gt;0,球探欧赔数据录入表!C210*AY$1,"")</f>
        <v>0</v>
      </c>
      <c r="BC207" s="4">
        <f>IF(球探欧赔数据录入表!D210&gt;0,球探欧赔数据录入表!D210*AZ$1,"")</f>
        <v>0</v>
      </c>
      <c r="BD207" s="4">
        <f>IF(球探欧赔数据录入表!E210&gt;0,球探欧赔数据录入表!E210*BA$1,"")</f>
        <v>0</v>
      </c>
    </row>
    <row r="208" spans="54:56">
      <c r="BB208" s="4">
        <f>IF(球探欧赔数据录入表!C211&gt;0,球探欧赔数据录入表!C211*AY$1,"")</f>
        <v>0</v>
      </c>
      <c r="BC208" s="4">
        <f>IF(球探欧赔数据录入表!D211&gt;0,球探欧赔数据录入表!D211*AZ$1,"")</f>
        <v>0</v>
      </c>
      <c r="BD208" s="4">
        <f>IF(球探欧赔数据录入表!E211&gt;0,球探欧赔数据录入表!E211*BA$1,"")</f>
        <v>0</v>
      </c>
    </row>
    <row r="209" spans="54:56">
      <c r="BB209" s="4">
        <f>IF(球探欧赔数据录入表!C212&gt;0,球探欧赔数据录入表!C212*AY$1,"")</f>
        <v>0</v>
      </c>
      <c r="BC209" s="4">
        <f>IF(球探欧赔数据录入表!D212&gt;0,球探欧赔数据录入表!D212*AZ$1,"")</f>
        <v>0</v>
      </c>
      <c r="BD209" s="4">
        <f>IF(球探欧赔数据录入表!E212&gt;0,球探欧赔数据录入表!E212*BA$1,"")</f>
        <v>0</v>
      </c>
    </row>
    <row r="210" spans="54:56">
      <c r="BB210" s="4">
        <f>IF(球探欧赔数据录入表!C213&gt;0,球探欧赔数据录入表!C213*AY$1,"")</f>
        <v>0</v>
      </c>
      <c r="BC210" s="4">
        <f>IF(球探欧赔数据录入表!D213&gt;0,球探欧赔数据录入表!D213*AZ$1,"")</f>
        <v>0</v>
      </c>
      <c r="BD210" s="4">
        <f>IF(球探欧赔数据录入表!E213&gt;0,球探欧赔数据录入表!E213*BA$1,"")</f>
        <v>0</v>
      </c>
    </row>
    <row r="211" spans="54:56">
      <c r="BB211" s="4">
        <f>IF(球探欧赔数据录入表!C214&gt;0,球探欧赔数据录入表!C214*AY$1,"")</f>
        <v>0</v>
      </c>
      <c r="BC211" s="4">
        <f>IF(球探欧赔数据录入表!D214&gt;0,球探欧赔数据录入表!D214*AZ$1,"")</f>
        <v>0</v>
      </c>
      <c r="BD211" s="4">
        <f>IF(球探欧赔数据录入表!E214&gt;0,球探欧赔数据录入表!E214*BA$1,"")</f>
        <v>0</v>
      </c>
    </row>
    <row r="212" spans="54:56">
      <c r="BB212" s="4">
        <f>IF(球探欧赔数据录入表!C215&gt;0,球探欧赔数据录入表!C215*AY$1,"")</f>
        <v>0</v>
      </c>
      <c r="BC212" s="4">
        <f>IF(球探欧赔数据录入表!D215&gt;0,球探欧赔数据录入表!D215*AZ$1,"")</f>
        <v>0</v>
      </c>
      <c r="BD212" s="4">
        <f>IF(球探欧赔数据录入表!E215&gt;0,球探欧赔数据录入表!E215*BA$1,"")</f>
        <v>0</v>
      </c>
    </row>
    <row r="213" spans="54:56">
      <c r="BB213" s="4">
        <f>IF(球探欧赔数据录入表!C216&gt;0,球探欧赔数据录入表!C216*AY$1,"")</f>
        <v>0</v>
      </c>
      <c r="BC213" s="4">
        <f>IF(球探欧赔数据录入表!D216&gt;0,球探欧赔数据录入表!D216*AZ$1,"")</f>
        <v>0</v>
      </c>
      <c r="BD213" s="4">
        <f>IF(球探欧赔数据录入表!E216&gt;0,球探欧赔数据录入表!E216*BA$1,"")</f>
        <v>0</v>
      </c>
    </row>
    <row r="214" spans="54:56">
      <c r="BB214" s="4">
        <f>IF(球探欧赔数据录入表!C217&gt;0,球探欧赔数据录入表!C217*AY$1,"")</f>
        <v>0</v>
      </c>
      <c r="BC214" s="4">
        <f>IF(球探欧赔数据录入表!D217&gt;0,球探欧赔数据录入表!D217*AZ$1,"")</f>
        <v>0</v>
      </c>
      <c r="BD214" s="4">
        <f>IF(球探欧赔数据录入表!E217&gt;0,球探欧赔数据录入表!E217*BA$1,"")</f>
        <v>0</v>
      </c>
    </row>
    <row r="215" spans="54:56">
      <c r="BB215" s="4">
        <f>IF(球探欧赔数据录入表!C218&gt;0,球探欧赔数据录入表!C218*AY$1,"")</f>
        <v>0</v>
      </c>
      <c r="BC215" s="4">
        <f>IF(球探欧赔数据录入表!D218&gt;0,球探欧赔数据录入表!D218*AZ$1,"")</f>
        <v>0</v>
      </c>
      <c r="BD215" s="4">
        <f>IF(球探欧赔数据录入表!E218&gt;0,球探欧赔数据录入表!E218*BA$1,"")</f>
        <v>0</v>
      </c>
    </row>
    <row r="216" spans="54:56">
      <c r="BB216" s="4">
        <f>IF(球探欧赔数据录入表!C219&gt;0,球探欧赔数据录入表!C219*AY$1,"")</f>
        <v>0</v>
      </c>
      <c r="BC216" s="4">
        <f>IF(球探欧赔数据录入表!D219&gt;0,球探欧赔数据录入表!D219*AZ$1,"")</f>
        <v>0</v>
      </c>
      <c r="BD216" s="4">
        <f>IF(球探欧赔数据录入表!E219&gt;0,球探欧赔数据录入表!E219*BA$1,"")</f>
        <v>0</v>
      </c>
    </row>
    <row r="217" spans="54:56">
      <c r="BB217" s="4">
        <f>IF(球探欧赔数据录入表!C220&gt;0,球探欧赔数据录入表!C220*AY$1,"")</f>
        <v>0</v>
      </c>
      <c r="BC217" s="4">
        <f>IF(球探欧赔数据录入表!D220&gt;0,球探欧赔数据录入表!D220*AZ$1,"")</f>
        <v>0</v>
      </c>
      <c r="BD217" s="4">
        <f>IF(球探欧赔数据录入表!E220&gt;0,球探欧赔数据录入表!E220*BA$1,"")</f>
        <v>0</v>
      </c>
    </row>
    <row r="218" spans="54:56">
      <c r="BB218" s="4">
        <f>IF(球探欧赔数据录入表!C221&gt;0,球探欧赔数据录入表!C221*AY$1,"")</f>
        <v>0</v>
      </c>
      <c r="BC218" s="4">
        <f>IF(球探欧赔数据录入表!D221&gt;0,球探欧赔数据录入表!D221*AZ$1,"")</f>
        <v>0</v>
      </c>
      <c r="BD218" s="4">
        <f>IF(球探欧赔数据录入表!E221&gt;0,球探欧赔数据录入表!E221*BA$1,"")</f>
        <v>0</v>
      </c>
    </row>
    <row r="219" spans="54:56">
      <c r="BB219" s="4">
        <f>IF(球探欧赔数据录入表!C222&gt;0,球探欧赔数据录入表!C222*AY$1,"")</f>
        <v>0</v>
      </c>
      <c r="BC219" s="4">
        <f>IF(球探欧赔数据录入表!D222&gt;0,球探欧赔数据录入表!D222*AZ$1,"")</f>
        <v>0</v>
      </c>
      <c r="BD219" s="4">
        <f>IF(球探欧赔数据录入表!E222&gt;0,球探欧赔数据录入表!E222*BA$1,"")</f>
        <v>0</v>
      </c>
    </row>
    <row r="220" spans="54:56">
      <c r="BB220" s="4">
        <f>IF(球探欧赔数据录入表!C223&gt;0,球探欧赔数据录入表!C223*AY$1,"")</f>
        <v>0</v>
      </c>
      <c r="BC220" s="4">
        <f>IF(球探欧赔数据录入表!D223&gt;0,球探欧赔数据录入表!D223*AZ$1,"")</f>
        <v>0</v>
      </c>
      <c r="BD220" s="4">
        <f>IF(球探欧赔数据录入表!E223&gt;0,球探欧赔数据录入表!E223*BA$1,"")</f>
        <v>0</v>
      </c>
    </row>
    <row r="221" spans="54:56">
      <c r="BB221" s="4">
        <f>IF(球探欧赔数据录入表!C224&gt;0,球探欧赔数据录入表!C224*AY$1,"")</f>
        <v>0</v>
      </c>
      <c r="BC221" s="4">
        <f>IF(球探欧赔数据录入表!D224&gt;0,球探欧赔数据录入表!D224*AZ$1,"")</f>
        <v>0</v>
      </c>
      <c r="BD221" s="4">
        <f>IF(球探欧赔数据录入表!E224&gt;0,球探欧赔数据录入表!E224*BA$1,"")</f>
        <v>0</v>
      </c>
    </row>
    <row r="222" spans="54:56">
      <c r="BB222" s="4">
        <f>IF(球探欧赔数据录入表!C225&gt;0,球探欧赔数据录入表!C225*AY$1,"")</f>
        <v>0</v>
      </c>
      <c r="BC222" s="4">
        <f>IF(球探欧赔数据录入表!D225&gt;0,球探欧赔数据录入表!D225*AZ$1,"")</f>
        <v>0</v>
      </c>
      <c r="BD222" s="4">
        <f>IF(球探欧赔数据录入表!E225&gt;0,球探欧赔数据录入表!E225*BA$1,"")</f>
        <v>0</v>
      </c>
    </row>
    <row r="223" spans="54:56">
      <c r="BB223" s="4">
        <f>IF(球探欧赔数据录入表!C226&gt;0,球探欧赔数据录入表!C226*AY$1,"")</f>
        <v>0</v>
      </c>
      <c r="BC223" s="4">
        <f>IF(球探欧赔数据录入表!D226&gt;0,球探欧赔数据录入表!D226*AZ$1,"")</f>
        <v>0</v>
      </c>
      <c r="BD223" s="4">
        <f>IF(球探欧赔数据录入表!E226&gt;0,球探欧赔数据录入表!E226*BA$1,"")</f>
        <v>0</v>
      </c>
    </row>
    <row r="224" spans="54:56">
      <c r="BB224" s="4">
        <f>IF(球探欧赔数据录入表!C227&gt;0,球探欧赔数据录入表!C227*AY$1,"")</f>
        <v>0</v>
      </c>
      <c r="BC224" s="4">
        <f>IF(球探欧赔数据录入表!D227&gt;0,球探欧赔数据录入表!D227*AZ$1,"")</f>
        <v>0</v>
      </c>
      <c r="BD224" s="4">
        <f>IF(球探欧赔数据录入表!E227&gt;0,球探欧赔数据录入表!E227*BA$1,"")</f>
        <v>0</v>
      </c>
    </row>
    <row r="225" spans="54:56">
      <c r="BB225" s="4">
        <f>IF(球探欧赔数据录入表!C228&gt;0,球探欧赔数据录入表!C228*AY$1,"")</f>
        <v>0</v>
      </c>
      <c r="BC225" s="4">
        <f>IF(球探欧赔数据录入表!D228&gt;0,球探欧赔数据录入表!D228*AZ$1,"")</f>
        <v>0</v>
      </c>
      <c r="BD225" s="4">
        <f>IF(球探欧赔数据录入表!E228&gt;0,球探欧赔数据录入表!E228*BA$1,"")</f>
        <v>0</v>
      </c>
    </row>
    <row r="226" spans="54:56">
      <c r="BB226" s="4">
        <f>IF(球探欧赔数据录入表!C229&gt;0,球探欧赔数据录入表!C229*AY$1,"")</f>
        <v>0</v>
      </c>
      <c r="BC226" s="4">
        <f>IF(球探欧赔数据录入表!D229&gt;0,球探欧赔数据录入表!D229*AZ$1,"")</f>
        <v>0</v>
      </c>
      <c r="BD226" s="4">
        <f>IF(球探欧赔数据录入表!E229&gt;0,球探欧赔数据录入表!E229*BA$1,"")</f>
        <v>0</v>
      </c>
    </row>
    <row r="227" spans="54:56">
      <c r="BB227" s="4">
        <f>IF(球探欧赔数据录入表!C230&gt;0,球探欧赔数据录入表!C230*AY$1,"")</f>
        <v>0</v>
      </c>
      <c r="BC227" s="4">
        <f>IF(球探欧赔数据录入表!D230&gt;0,球探欧赔数据录入表!D230*AZ$1,"")</f>
        <v>0</v>
      </c>
      <c r="BD227" s="4">
        <f>IF(球探欧赔数据录入表!E230&gt;0,球探欧赔数据录入表!E230*BA$1,"")</f>
        <v>0</v>
      </c>
    </row>
    <row r="228" spans="54:56">
      <c r="BB228" s="4">
        <f>IF(球探欧赔数据录入表!C231&gt;0,球探欧赔数据录入表!C231*AY$1,"")</f>
        <v>0</v>
      </c>
      <c r="BC228" s="4">
        <f>IF(球探欧赔数据录入表!D231&gt;0,球探欧赔数据录入表!D231*AZ$1,"")</f>
        <v>0</v>
      </c>
      <c r="BD228" s="4">
        <f>IF(球探欧赔数据录入表!E231&gt;0,球探欧赔数据录入表!E231*BA$1,"")</f>
        <v>0</v>
      </c>
    </row>
    <row r="229" spans="54:56">
      <c r="BB229" s="4">
        <f>IF(球探欧赔数据录入表!C232&gt;0,球探欧赔数据录入表!C232*AY$1,"")</f>
        <v>0</v>
      </c>
      <c r="BC229" s="4">
        <f>IF(球探欧赔数据录入表!D232&gt;0,球探欧赔数据录入表!D232*AZ$1,"")</f>
        <v>0</v>
      </c>
      <c r="BD229" s="4">
        <f>IF(球探欧赔数据录入表!E232&gt;0,球探欧赔数据录入表!E232*BA$1,"")</f>
        <v>0</v>
      </c>
    </row>
    <row r="230" spans="54:56">
      <c r="BB230" s="4">
        <f>IF(球探欧赔数据录入表!C233&gt;0,球探欧赔数据录入表!C233*AY$1,"")</f>
        <v>0</v>
      </c>
      <c r="BC230" s="4">
        <f>IF(球探欧赔数据录入表!D233&gt;0,球探欧赔数据录入表!D233*AZ$1,"")</f>
        <v>0</v>
      </c>
      <c r="BD230" s="4">
        <f>IF(球探欧赔数据录入表!E233&gt;0,球探欧赔数据录入表!E233*BA$1,"")</f>
        <v>0</v>
      </c>
    </row>
    <row r="231" spans="54:56">
      <c r="BB231" s="4">
        <f>IF(球探欧赔数据录入表!C234&gt;0,球探欧赔数据录入表!C234*AY$1,"")</f>
        <v>0</v>
      </c>
      <c r="BC231" s="4">
        <f>IF(球探欧赔数据录入表!D234&gt;0,球探欧赔数据录入表!D234*AZ$1,"")</f>
        <v>0</v>
      </c>
      <c r="BD231" s="4">
        <f>IF(球探欧赔数据录入表!E234&gt;0,球探欧赔数据录入表!E234*BA$1,"")</f>
        <v>0</v>
      </c>
    </row>
    <row r="232" spans="54:56">
      <c r="BB232" s="4">
        <f>IF(球探欧赔数据录入表!C235&gt;0,球探欧赔数据录入表!C235*AY$1,"")</f>
        <v>0</v>
      </c>
      <c r="BC232" s="4">
        <f>IF(球探欧赔数据录入表!D235&gt;0,球探欧赔数据录入表!D235*AZ$1,"")</f>
        <v>0</v>
      </c>
      <c r="BD232" s="4">
        <f>IF(球探欧赔数据录入表!E235&gt;0,球探欧赔数据录入表!E235*BA$1,"")</f>
        <v>0</v>
      </c>
    </row>
    <row r="233" spans="54:56">
      <c r="BB233" s="4">
        <f>IF(球探欧赔数据录入表!C236&gt;0,球探欧赔数据录入表!C236*AY$1,"")</f>
        <v>0</v>
      </c>
      <c r="BC233" s="4">
        <f>IF(球探欧赔数据录入表!D236&gt;0,球探欧赔数据录入表!D236*AZ$1,"")</f>
        <v>0</v>
      </c>
      <c r="BD233" s="4">
        <f>IF(球探欧赔数据录入表!E236&gt;0,球探欧赔数据录入表!E236*BA$1,"")</f>
        <v>0</v>
      </c>
    </row>
    <row r="234" spans="54:56">
      <c r="BB234" s="4">
        <f>IF(球探欧赔数据录入表!C237&gt;0,球探欧赔数据录入表!C237*AY$1,"")</f>
        <v>0</v>
      </c>
      <c r="BC234" s="4">
        <f>IF(球探欧赔数据录入表!D237&gt;0,球探欧赔数据录入表!D237*AZ$1,"")</f>
        <v>0</v>
      </c>
      <c r="BD234" s="4">
        <f>IF(球探欧赔数据录入表!E237&gt;0,球探欧赔数据录入表!E237*BA$1,"")</f>
        <v>0</v>
      </c>
    </row>
    <row r="235" spans="54:56">
      <c r="BB235" s="4">
        <f>IF(球探欧赔数据录入表!C238&gt;0,球探欧赔数据录入表!C238*AY$1,"")</f>
        <v>0</v>
      </c>
      <c r="BC235" s="4">
        <f>IF(球探欧赔数据录入表!D238&gt;0,球探欧赔数据录入表!D238*AZ$1,"")</f>
        <v>0</v>
      </c>
      <c r="BD235" s="4">
        <f>IF(球探欧赔数据录入表!E238&gt;0,球探欧赔数据录入表!E238*BA$1,"")</f>
        <v>0</v>
      </c>
    </row>
    <row r="236" spans="54:56">
      <c r="BB236" s="4">
        <f>IF(球探欧赔数据录入表!C239&gt;0,球探欧赔数据录入表!C239*AY$1,"")</f>
        <v>0</v>
      </c>
      <c r="BC236" s="4">
        <f>IF(球探欧赔数据录入表!D239&gt;0,球探欧赔数据录入表!D239*AZ$1,"")</f>
        <v>0</v>
      </c>
      <c r="BD236" s="4">
        <f>IF(球探欧赔数据录入表!E239&gt;0,球探欧赔数据录入表!E239*BA$1,"")</f>
        <v>0</v>
      </c>
    </row>
    <row r="237" spans="54:56">
      <c r="BB237" s="4">
        <f>IF(球探欧赔数据录入表!C240&gt;0,球探欧赔数据录入表!C240*AY$1,"")</f>
        <v>0</v>
      </c>
      <c r="BC237" s="4">
        <f>IF(球探欧赔数据录入表!D240&gt;0,球探欧赔数据录入表!D240*AZ$1,"")</f>
        <v>0</v>
      </c>
      <c r="BD237" s="4">
        <f>IF(球探欧赔数据录入表!E240&gt;0,球探欧赔数据录入表!E240*BA$1,"")</f>
        <v>0</v>
      </c>
    </row>
    <row r="238" spans="54:56">
      <c r="BB238" s="4">
        <f>IF(球探欧赔数据录入表!C241&gt;0,球探欧赔数据录入表!C241*AY$1,"")</f>
        <v>0</v>
      </c>
      <c r="BC238" s="4">
        <f>IF(球探欧赔数据录入表!D241&gt;0,球探欧赔数据录入表!D241*AZ$1,"")</f>
        <v>0</v>
      </c>
      <c r="BD238" s="4">
        <f>IF(球探欧赔数据录入表!E241&gt;0,球探欧赔数据录入表!E241*BA$1,"")</f>
        <v>0</v>
      </c>
    </row>
    <row r="239" spans="54:56">
      <c r="BB239" s="4">
        <f>IF(球探欧赔数据录入表!C242&gt;0,球探欧赔数据录入表!C242*AY$1,"")</f>
        <v>0</v>
      </c>
      <c r="BC239" s="4">
        <f>IF(球探欧赔数据录入表!D242&gt;0,球探欧赔数据录入表!D242*AZ$1,"")</f>
        <v>0</v>
      </c>
      <c r="BD239" s="4">
        <f>IF(球探欧赔数据录入表!E242&gt;0,球探欧赔数据录入表!E242*BA$1,"")</f>
        <v>0</v>
      </c>
    </row>
    <row r="240" spans="54:56">
      <c r="BB240" s="4">
        <f>IF(球探欧赔数据录入表!C243&gt;0,球探欧赔数据录入表!C243*AY$1,"")</f>
        <v>0</v>
      </c>
      <c r="BC240" s="4">
        <f>IF(球探欧赔数据录入表!D243&gt;0,球探欧赔数据录入表!D243*AZ$1,"")</f>
        <v>0</v>
      </c>
      <c r="BD240" s="4">
        <f>IF(球探欧赔数据录入表!E243&gt;0,球探欧赔数据录入表!E243*BA$1,"")</f>
        <v>0</v>
      </c>
    </row>
    <row r="241" spans="54:56">
      <c r="BB241" s="4">
        <f>IF(球探欧赔数据录入表!C244&gt;0,球探欧赔数据录入表!C244*AY$1,"")</f>
        <v>0</v>
      </c>
      <c r="BC241" s="4">
        <f>IF(球探欧赔数据录入表!D244&gt;0,球探欧赔数据录入表!D244*AZ$1,"")</f>
        <v>0</v>
      </c>
      <c r="BD241" s="4">
        <f>IF(球探欧赔数据录入表!E244&gt;0,球探欧赔数据录入表!E244*BA$1,"")</f>
        <v>0</v>
      </c>
    </row>
    <row r="242" spans="54:56">
      <c r="BB242" s="4">
        <f>IF(球探欧赔数据录入表!C245&gt;0,球探欧赔数据录入表!C245*AY$1,"")</f>
        <v>0</v>
      </c>
      <c r="BC242" s="4">
        <f>IF(球探欧赔数据录入表!D245&gt;0,球探欧赔数据录入表!D245*AZ$1,"")</f>
        <v>0</v>
      </c>
      <c r="BD242" s="4">
        <f>IF(球探欧赔数据录入表!E245&gt;0,球探欧赔数据录入表!E245*BA$1,"")</f>
        <v>0</v>
      </c>
    </row>
    <row r="243" spans="54:56">
      <c r="BB243" s="4">
        <f>IF(球探欧赔数据录入表!C246&gt;0,球探欧赔数据录入表!C246*AY$1,"")</f>
        <v>0</v>
      </c>
      <c r="BC243" s="4">
        <f>IF(球探欧赔数据录入表!D246&gt;0,球探欧赔数据录入表!D246*AZ$1,"")</f>
        <v>0</v>
      </c>
      <c r="BD243" s="4">
        <f>IF(球探欧赔数据录入表!E246&gt;0,球探欧赔数据录入表!E246*BA$1,"")</f>
        <v>0</v>
      </c>
    </row>
    <row r="244" spans="54:56">
      <c r="BB244" s="4">
        <f>IF(球探欧赔数据录入表!C247&gt;0,球探欧赔数据录入表!C247*AY$1,"")</f>
        <v>0</v>
      </c>
      <c r="BC244" s="4">
        <f>IF(球探欧赔数据录入表!D247&gt;0,球探欧赔数据录入表!D247*AZ$1,"")</f>
        <v>0</v>
      </c>
      <c r="BD244" s="4">
        <f>IF(球探欧赔数据录入表!E247&gt;0,球探欧赔数据录入表!E247*BA$1,"")</f>
        <v>0</v>
      </c>
    </row>
    <row r="245" spans="54:56">
      <c r="BB245" s="4">
        <f>IF(球探欧赔数据录入表!C248&gt;0,球探欧赔数据录入表!C248*AY$1,"")</f>
        <v>0</v>
      </c>
      <c r="BC245" s="4">
        <f>IF(球探欧赔数据录入表!D248&gt;0,球探欧赔数据录入表!D248*AZ$1,"")</f>
        <v>0</v>
      </c>
      <c r="BD245" s="4">
        <f>IF(球探欧赔数据录入表!E248&gt;0,球探欧赔数据录入表!E248*BA$1,"")</f>
        <v>0</v>
      </c>
    </row>
    <row r="246" spans="54:56">
      <c r="BB246" s="4">
        <f>IF(球探欧赔数据录入表!C249&gt;0,球探欧赔数据录入表!C249*AY$1,"")</f>
        <v>0</v>
      </c>
      <c r="BC246" s="4">
        <f>IF(球探欧赔数据录入表!D249&gt;0,球探欧赔数据录入表!D249*AZ$1,"")</f>
        <v>0</v>
      </c>
      <c r="BD246" s="4">
        <f>IF(球探欧赔数据录入表!E249&gt;0,球探欧赔数据录入表!E249*BA$1,"")</f>
        <v>0</v>
      </c>
    </row>
    <row r="247" spans="54:56">
      <c r="BB247" s="4">
        <f>IF(球探欧赔数据录入表!C250&gt;0,球探欧赔数据录入表!C250*AY$1,"")</f>
        <v>0</v>
      </c>
      <c r="BC247" s="4">
        <f>IF(球探欧赔数据录入表!D250&gt;0,球探欧赔数据录入表!D250*AZ$1,"")</f>
        <v>0</v>
      </c>
      <c r="BD247" s="4">
        <f>IF(球探欧赔数据录入表!E250&gt;0,球探欧赔数据录入表!E250*BA$1,"")</f>
        <v>0</v>
      </c>
    </row>
    <row r="248" spans="54:56">
      <c r="BB248" s="4">
        <f>IF(球探欧赔数据录入表!C251&gt;0,球探欧赔数据录入表!C251*AY$1,"")</f>
        <v>0</v>
      </c>
      <c r="BC248" s="4">
        <f>IF(球探欧赔数据录入表!D251&gt;0,球探欧赔数据录入表!D251*AZ$1,"")</f>
        <v>0</v>
      </c>
      <c r="BD248" s="4">
        <f>IF(球探欧赔数据录入表!E251&gt;0,球探欧赔数据录入表!E251*BA$1,"")</f>
        <v>0</v>
      </c>
    </row>
    <row r="249" spans="54:56">
      <c r="BB249" s="4">
        <f>IF(球探欧赔数据录入表!C252&gt;0,球探欧赔数据录入表!C252*AY$1,"")</f>
        <v>0</v>
      </c>
      <c r="BC249" s="4">
        <f>IF(球探欧赔数据录入表!D252&gt;0,球探欧赔数据录入表!D252*AZ$1,"")</f>
        <v>0</v>
      </c>
      <c r="BD249" s="4">
        <f>IF(球探欧赔数据录入表!E252&gt;0,球探欧赔数据录入表!E252*BA$1,"")</f>
        <v>0</v>
      </c>
    </row>
    <row r="250" spans="54:56">
      <c r="BB250" s="4">
        <f>IF(球探欧赔数据录入表!C253&gt;0,球探欧赔数据录入表!C253*AY$1,"")</f>
        <v>0</v>
      </c>
      <c r="BC250" s="4">
        <f>IF(球探欧赔数据录入表!D253&gt;0,球探欧赔数据录入表!D253*AZ$1,"")</f>
        <v>0</v>
      </c>
      <c r="BD250" s="4">
        <f>IF(球探欧赔数据录入表!E253&gt;0,球探欧赔数据录入表!E253*BA$1,"")</f>
        <v>0</v>
      </c>
    </row>
    <row r="251" spans="54:56">
      <c r="BB251" s="4">
        <f>IF(球探欧赔数据录入表!C254&gt;0,球探欧赔数据录入表!C254*AY$1,"")</f>
        <v>0</v>
      </c>
      <c r="BC251" s="4">
        <f>IF(球探欧赔数据录入表!D254&gt;0,球探欧赔数据录入表!D254*AZ$1,"")</f>
        <v>0</v>
      </c>
      <c r="BD251" s="4">
        <f>IF(球探欧赔数据录入表!E254&gt;0,球探欧赔数据录入表!E254*BA$1,"")</f>
        <v>0</v>
      </c>
    </row>
    <row r="252" spans="54:56">
      <c r="BB252" s="4">
        <f>IF(球探欧赔数据录入表!C255&gt;0,球探欧赔数据录入表!C255*AY$1,"")</f>
        <v>0</v>
      </c>
      <c r="BC252" s="4">
        <f>IF(球探欧赔数据录入表!D255&gt;0,球探欧赔数据录入表!D255*AZ$1,"")</f>
        <v>0</v>
      </c>
      <c r="BD252" s="4">
        <f>IF(球探欧赔数据录入表!E255&gt;0,球探欧赔数据录入表!E255*BA$1,"")</f>
        <v>0</v>
      </c>
    </row>
    <row r="253" spans="54:56">
      <c r="BB253" s="4">
        <f>IF(球探欧赔数据录入表!C256&gt;0,球探欧赔数据录入表!C256*AY$1,"")</f>
        <v>0</v>
      </c>
      <c r="BC253" s="4">
        <f>IF(球探欧赔数据录入表!D256&gt;0,球探欧赔数据录入表!D256*AZ$1,"")</f>
        <v>0</v>
      </c>
      <c r="BD253" s="4">
        <f>IF(球探欧赔数据录入表!E256&gt;0,球探欧赔数据录入表!E256*BA$1,"")</f>
        <v>0</v>
      </c>
    </row>
    <row r="254" spans="54:56">
      <c r="BB254" s="4">
        <f>IF(球探欧赔数据录入表!C257&gt;0,球探欧赔数据录入表!C257*AY$1,"")</f>
        <v>0</v>
      </c>
      <c r="BC254" s="4">
        <f>IF(球探欧赔数据录入表!D257&gt;0,球探欧赔数据录入表!D257*AZ$1,"")</f>
        <v>0</v>
      </c>
      <c r="BD254" s="4">
        <f>IF(球探欧赔数据录入表!E257&gt;0,球探欧赔数据录入表!E257*BA$1,"")</f>
        <v>0</v>
      </c>
    </row>
    <row r="255" spans="54:56">
      <c r="BB255" s="4">
        <f>IF(球探欧赔数据录入表!C258&gt;0,球探欧赔数据录入表!C258*AY$1,"")</f>
        <v>0</v>
      </c>
      <c r="BC255" s="4">
        <f>IF(球探欧赔数据录入表!D258&gt;0,球探欧赔数据录入表!D258*AZ$1,"")</f>
        <v>0</v>
      </c>
      <c r="BD255" s="4">
        <f>IF(球探欧赔数据录入表!E258&gt;0,球探欧赔数据录入表!E258*BA$1,"")</f>
        <v>0</v>
      </c>
    </row>
    <row r="256" spans="54:56">
      <c r="BB256" s="4">
        <f>IF(球探欧赔数据录入表!C259&gt;0,球探欧赔数据录入表!C259*AY$1,"")</f>
        <v>0</v>
      </c>
      <c r="BC256" s="4">
        <f>IF(球探欧赔数据录入表!D259&gt;0,球探欧赔数据录入表!D259*AZ$1,"")</f>
        <v>0</v>
      </c>
      <c r="BD256" s="4">
        <f>IF(球探欧赔数据录入表!E259&gt;0,球探欧赔数据录入表!E259*BA$1,"")</f>
        <v>0</v>
      </c>
    </row>
    <row r="257" spans="54:56">
      <c r="BB257" s="4">
        <f>IF(球探欧赔数据录入表!C260&gt;0,球探欧赔数据录入表!C260*AY$1,"")</f>
        <v>0</v>
      </c>
      <c r="BC257" s="4">
        <f>IF(球探欧赔数据录入表!D260&gt;0,球探欧赔数据录入表!D260*AZ$1,"")</f>
        <v>0</v>
      </c>
      <c r="BD257" s="4">
        <f>IF(球探欧赔数据录入表!E260&gt;0,球探欧赔数据录入表!E260*BA$1,"")</f>
        <v>0</v>
      </c>
    </row>
    <row r="258" spans="54:56">
      <c r="BB258" s="4">
        <f>IF(球探欧赔数据录入表!C261&gt;0,球探欧赔数据录入表!C261*AY$1,"")</f>
        <v>0</v>
      </c>
      <c r="BC258" s="4">
        <f>IF(球探欧赔数据录入表!D261&gt;0,球探欧赔数据录入表!D261*AZ$1,"")</f>
        <v>0</v>
      </c>
      <c r="BD258" s="4">
        <f>IF(球探欧赔数据录入表!E261&gt;0,球探欧赔数据录入表!E261*BA$1,"")</f>
        <v>0</v>
      </c>
    </row>
    <row r="259" spans="54:56">
      <c r="BB259" s="4">
        <f>IF(球探欧赔数据录入表!C262&gt;0,球探欧赔数据录入表!C262*AY$1,"")</f>
        <v>0</v>
      </c>
      <c r="BC259" s="4">
        <f>IF(球探欧赔数据录入表!D262&gt;0,球探欧赔数据录入表!D262*AZ$1,"")</f>
        <v>0</v>
      </c>
      <c r="BD259" s="4">
        <f>IF(球探欧赔数据录入表!E262&gt;0,球探欧赔数据录入表!E262*BA$1,"")</f>
        <v>0</v>
      </c>
    </row>
    <row r="260" spans="54:56">
      <c r="BB260" s="4">
        <f>IF(球探欧赔数据录入表!C263&gt;0,球探欧赔数据录入表!C263*AY$1,"")</f>
        <v>0</v>
      </c>
      <c r="BC260" s="4">
        <f>IF(球探欧赔数据录入表!D263&gt;0,球探欧赔数据录入表!D263*AZ$1,"")</f>
        <v>0</v>
      </c>
      <c r="BD260" s="4">
        <f>IF(球探欧赔数据录入表!E263&gt;0,球探欧赔数据录入表!E263*BA$1,"")</f>
        <v>0</v>
      </c>
    </row>
    <row r="261" spans="54:56">
      <c r="BB261" s="4">
        <f>IF(球探欧赔数据录入表!C264&gt;0,球探欧赔数据录入表!C264*AY$1,"")</f>
        <v>0</v>
      </c>
      <c r="BC261" s="4">
        <f>IF(球探欧赔数据录入表!D264&gt;0,球探欧赔数据录入表!D264*AZ$1,"")</f>
        <v>0</v>
      </c>
      <c r="BD261" s="4">
        <f>IF(球探欧赔数据录入表!E264&gt;0,球探欧赔数据录入表!E264*BA$1,"")</f>
        <v>0</v>
      </c>
    </row>
    <row r="262" spans="54:56">
      <c r="BB262" s="4">
        <f>IF(球探欧赔数据录入表!C265&gt;0,球探欧赔数据录入表!C265*AY$1,"")</f>
        <v>0</v>
      </c>
      <c r="BC262" s="4">
        <f>IF(球探欧赔数据录入表!D265&gt;0,球探欧赔数据录入表!D265*AZ$1,"")</f>
        <v>0</v>
      </c>
      <c r="BD262" s="4">
        <f>IF(球探欧赔数据录入表!E265&gt;0,球探欧赔数据录入表!E265*BA$1,"")</f>
        <v>0</v>
      </c>
    </row>
    <row r="263" spans="54:56">
      <c r="BB263" s="4">
        <f>IF(球探欧赔数据录入表!C266&gt;0,球探欧赔数据录入表!C266*AY$1,"")</f>
        <v>0</v>
      </c>
      <c r="BC263" s="4">
        <f>IF(球探欧赔数据录入表!D266&gt;0,球探欧赔数据录入表!D266*AZ$1,"")</f>
        <v>0</v>
      </c>
      <c r="BD263" s="4">
        <f>IF(球探欧赔数据录入表!E266&gt;0,球探欧赔数据录入表!E266*BA$1,"")</f>
        <v>0</v>
      </c>
    </row>
    <row r="264" spans="54:56">
      <c r="BB264" s="4">
        <f>IF(球探欧赔数据录入表!C267&gt;0,球探欧赔数据录入表!C267*AY$1,"")</f>
        <v>0</v>
      </c>
      <c r="BC264" s="4">
        <f>IF(球探欧赔数据录入表!D267&gt;0,球探欧赔数据录入表!D267*AZ$1,"")</f>
        <v>0</v>
      </c>
      <c r="BD264" s="4">
        <f>IF(球探欧赔数据录入表!E267&gt;0,球探欧赔数据录入表!E267*BA$1,"")</f>
        <v>0</v>
      </c>
    </row>
    <row r="265" spans="54:56">
      <c r="BB265" s="4">
        <f>IF(球探欧赔数据录入表!C268&gt;0,球探欧赔数据录入表!C268*AY$1,"")</f>
        <v>0</v>
      </c>
      <c r="BC265" s="4">
        <f>IF(球探欧赔数据录入表!D268&gt;0,球探欧赔数据录入表!D268*AZ$1,"")</f>
        <v>0</v>
      </c>
      <c r="BD265" s="4">
        <f>IF(球探欧赔数据录入表!E268&gt;0,球探欧赔数据录入表!E268*BA$1,"")</f>
        <v>0</v>
      </c>
    </row>
    <row r="266" spans="54:56">
      <c r="BB266" s="4">
        <f>IF(球探欧赔数据录入表!C269&gt;0,球探欧赔数据录入表!C269*AY$1,"")</f>
        <v>0</v>
      </c>
      <c r="BC266" s="4">
        <f>IF(球探欧赔数据录入表!D269&gt;0,球探欧赔数据录入表!D269*AZ$1,"")</f>
        <v>0</v>
      </c>
      <c r="BD266" s="4">
        <f>IF(球探欧赔数据录入表!E269&gt;0,球探欧赔数据录入表!E269*BA$1,"")</f>
        <v>0</v>
      </c>
    </row>
    <row r="267" spans="54:56">
      <c r="BB267" s="4">
        <f>IF(球探欧赔数据录入表!C270&gt;0,球探欧赔数据录入表!C270*AY$1,"")</f>
        <v>0</v>
      </c>
      <c r="BC267" s="4">
        <f>IF(球探欧赔数据录入表!D270&gt;0,球探欧赔数据录入表!D270*AZ$1,"")</f>
        <v>0</v>
      </c>
      <c r="BD267" s="4">
        <f>IF(球探欧赔数据录入表!E270&gt;0,球探欧赔数据录入表!E270*BA$1,"")</f>
        <v>0</v>
      </c>
    </row>
    <row r="268" spans="54:56">
      <c r="BB268" s="4">
        <f>IF(球探欧赔数据录入表!C271&gt;0,球探欧赔数据录入表!C271*AY$1,"")</f>
        <v>0</v>
      </c>
      <c r="BC268" s="4">
        <f>IF(球探欧赔数据录入表!D271&gt;0,球探欧赔数据录入表!D271*AZ$1,"")</f>
        <v>0</v>
      </c>
      <c r="BD268" s="4">
        <f>IF(球探欧赔数据录入表!E271&gt;0,球探欧赔数据录入表!E271*BA$1,"")</f>
        <v>0</v>
      </c>
    </row>
    <row r="269" spans="54:56">
      <c r="BB269" s="4">
        <f>IF(球探欧赔数据录入表!C272&gt;0,球探欧赔数据录入表!C272*AY$1,"")</f>
        <v>0</v>
      </c>
      <c r="BC269" s="4">
        <f>IF(球探欧赔数据录入表!D272&gt;0,球探欧赔数据录入表!D272*AZ$1,"")</f>
        <v>0</v>
      </c>
      <c r="BD269" s="4">
        <f>IF(球探欧赔数据录入表!E272&gt;0,球探欧赔数据录入表!E272*BA$1,"")</f>
        <v>0</v>
      </c>
    </row>
    <row r="270" spans="54:56">
      <c r="BB270" s="4">
        <f>IF(球探欧赔数据录入表!C273&gt;0,球探欧赔数据录入表!C273*AY$1,"")</f>
        <v>0</v>
      </c>
      <c r="BC270" s="4">
        <f>IF(球探欧赔数据录入表!D273&gt;0,球探欧赔数据录入表!D273*AZ$1,"")</f>
        <v>0</v>
      </c>
      <c r="BD270" s="4">
        <f>IF(球探欧赔数据录入表!E273&gt;0,球探欧赔数据录入表!E273*BA$1,"")</f>
        <v>0</v>
      </c>
    </row>
    <row r="271" spans="54:56">
      <c r="BB271" s="4">
        <f>IF(球探欧赔数据录入表!C274&gt;0,球探欧赔数据录入表!C274*AY$1,"")</f>
        <v>0</v>
      </c>
      <c r="BC271" s="4">
        <f>IF(球探欧赔数据录入表!D274&gt;0,球探欧赔数据录入表!D274*AZ$1,"")</f>
        <v>0</v>
      </c>
      <c r="BD271" s="4">
        <f>IF(球探欧赔数据录入表!E274&gt;0,球探欧赔数据录入表!E274*BA$1,"")</f>
        <v>0</v>
      </c>
    </row>
    <row r="272" spans="54:56">
      <c r="BB272" s="4">
        <f>IF(球探欧赔数据录入表!C275&gt;0,球探欧赔数据录入表!C275*AY$1,"")</f>
        <v>0</v>
      </c>
      <c r="BC272" s="4">
        <f>IF(球探欧赔数据录入表!D275&gt;0,球探欧赔数据录入表!D275*AZ$1,"")</f>
        <v>0</v>
      </c>
      <c r="BD272" s="4">
        <f>IF(球探欧赔数据录入表!E275&gt;0,球探欧赔数据录入表!E275*BA$1,"")</f>
        <v>0</v>
      </c>
    </row>
    <row r="273" spans="54:56">
      <c r="BB273" s="4">
        <f>IF(球探欧赔数据录入表!C276&gt;0,球探欧赔数据录入表!C276*AY$1,"")</f>
        <v>0</v>
      </c>
      <c r="BC273" s="4">
        <f>IF(球探欧赔数据录入表!D276&gt;0,球探欧赔数据录入表!D276*AZ$1,"")</f>
        <v>0</v>
      </c>
      <c r="BD273" s="4">
        <f>IF(球探欧赔数据录入表!E276&gt;0,球探欧赔数据录入表!E276*BA$1,"")</f>
        <v>0</v>
      </c>
    </row>
    <row r="274" spans="54:56">
      <c r="BB274" s="4">
        <f>IF(球探欧赔数据录入表!C277&gt;0,球探欧赔数据录入表!C277*AY$1,"")</f>
        <v>0</v>
      </c>
      <c r="BC274" s="4">
        <f>IF(球探欧赔数据录入表!D277&gt;0,球探欧赔数据录入表!D277*AZ$1,"")</f>
        <v>0</v>
      </c>
      <c r="BD274" s="4">
        <f>IF(球探欧赔数据录入表!E277&gt;0,球探欧赔数据录入表!E277*BA$1,"")</f>
        <v>0</v>
      </c>
    </row>
    <row r="275" spans="54:56">
      <c r="BB275" s="4">
        <f>IF(球探欧赔数据录入表!C278&gt;0,球探欧赔数据录入表!C278*AY$1,"")</f>
        <v>0</v>
      </c>
      <c r="BC275" s="4">
        <f>IF(球探欧赔数据录入表!D278&gt;0,球探欧赔数据录入表!D278*AZ$1,"")</f>
        <v>0</v>
      </c>
      <c r="BD275" s="4">
        <f>IF(球探欧赔数据录入表!E278&gt;0,球探欧赔数据录入表!E278*BA$1,"")</f>
        <v>0</v>
      </c>
    </row>
    <row r="276" spans="54:56">
      <c r="BB276" s="4">
        <f>IF(球探欧赔数据录入表!C279&gt;0,球探欧赔数据录入表!C279*AY$1,"")</f>
        <v>0</v>
      </c>
      <c r="BC276" s="4">
        <f>IF(球探欧赔数据录入表!D279&gt;0,球探欧赔数据录入表!D279*AZ$1,"")</f>
        <v>0</v>
      </c>
      <c r="BD276" s="4">
        <f>IF(球探欧赔数据录入表!E279&gt;0,球探欧赔数据录入表!E279*BA$1,"")</f>
        <v>0</v>
      </c>
    </row>
    <row r="277" spans="54:56">
      <c r="BB277" s="4">
        <f>IF(球探欧赔数据录入表!C280&gt;0,球探欧赔数据录入表!C280*AY$1,"")</f>
        <v>0</v>
      </c>
      <c r="BC277" s="4">
        <f>IF(球探欧赔数据录入表!D280&gt;0,球探欧赔数据录入表!D280*AZ$1,"")</f>
        <v>0</v>
      </c>
      <c r="BD277" s="4">
        <f>IF(球探欧赔数据录入表!E280&gt;0,球探欧赔数据录入表!E280*BA$1,"")</f>
        <v>0</v>
      </c>
    </row>
    <row r="278" spans="54:56">
      <c r="BB278" s="4">
        <f>IF(球探欧赔数据录入表!C281&gt;0,球探欧赔数据录入表!C281*AY$1,"")</f>
        <v>0</v>
      </c>
      <c r="BC278" s="4">
        <f>IF(球探欧赔数据录入表!D281&gt;0,球探欧赔数据录入表!D281*AZ$1,"")</f>
        <v>0</v>
      </c>
      <c r="BD278" s="4">
        <f>IF(球探欧赔数据录入表!E281&gt;0,球探欧赔数据录入表!E281*BA$1,"")</f>
        <v>0</v>
      </c>
    </row>
    <row r="279" spans="54:56">
      <c r="BB279" s="4">
        <f>IF(球探欧赔数据录入表!C282&gt;0,球探欧赔数据录入表!C282*AY$1,"")</f>
        <v>0</v>
      </c>
      <c r="BC279" s="4">
        <f>IF(球探欧赔数据录入表!D282&gt;0,球探欧赔数据录入表!D282*AZ$1,"")</f>
        <v>0</v>
      </c>
      <c r="BD279" s="4">
        <f>IF(球探欧赔数据录入表!E282&gt;0,球探欧赔数据录入表!E282*BA$1,"")</f>
        <v>0</v>
      </c>
    </row>
    <row r="280" spans="54:56">
      <c r="BB280" s="4">
        <f>IF(球探欧赔数据录入表!C283&gt;0,球探欧赔数据录入表!C283*AY$1,"")</f>
        <v>0</v>
      </c>
      <c r="BC280" s="4">
        <f>IF(球探欧赔数据录入表!D283&gt;0,球探欧赔数据录入表!D283*AZ$1,"")</f>
        <v>0</v>
      </c>
      <c r="BD280" s="4">
        <f>IF(球探欧赔数据录入表!E283&gt;0,球探欧赔数据录入表!E283*BA$1,"")</f>
        <v>0</v>
      </c>
    </row>
    <row r="281" spans="54:56">
      <c r="BB281" s="4">
        <f>IF(球探欧赔数据录入表!C284&gt;0,球探欧赔数据录入表!C284*AY$1,"")</f>
        <v>0</v>
      </c>
      <c r="BC281" s="4">
        <f>IF(球探欧赔数据录入表!D284&gt;0,球探欧赔数据录入表!D284*AZ$1,"")</f>
        <v>0</v>
      </c>
      <c r="BD281" s="4">
        <f>IF(球探欧赔数据录入表!E284&gt;0,球探欧赔数据录入表!E284*BA$1,"")</f>
        <v>0</v>
      </c>
    </row>
    <row r="282" spans="54:56">
      <c r="BB282" s="4">
        <f>IF(球探欧赔数据录入表!C285&gt;0,球探欧赔数据录入表!C285*AY$1,"")</f>
        <v>0</v>
      </c>
      <c r="BC282" s="4">
        <f>IF(球探欧赔数据录入表!D285&gt;0,球探欧赔数据录入表!D285*AZ$1,"")</f>
        <v>0</v>
      </c>
      <c r="BD282" s="4">
        <f>IF(球探欧赔数据录入表!E285&gt;0,球探欧赔数据录入表!E285*BA$1,"")</f>
        <v>0</v>
      </c>
    </row>
    <row r="283" spans="54:56">
      <c r="BB283" s="4">
        <f>IF(球探欧赔数据录入表!C286&gt;0,球探欧赔数据录入表!C286*AY$1,"")</f>
        <v>0</v>
      </c>
      <c r="BC283" s="4">
        <f>IF(球探欧赔数据录入表!D286&gt;0,球探欧赔数据录入表!D286*AZ$1,"")</f>
        <v>0</v>
      </c>
      <c r="BD283" s="4">
        <f>IF(球探欧赔数据录入表!E286&gt;0,球探欧赔数据录入表!E286*BA$1,"")</f>
        <v>0</v>
      </c>
    </row>
    <row r="284" spans="54:56">
      <c r="BB284" s="4">
        <f>IF(球探欧赔数据录入表!C287&gt;0,球探欧赔数据录入表!C287*AY$1,"")</f>
        <v>0</v>
      </c>
      <c r="BC284" s="4">
        <f>IF(球探欧赔数据录入表!D287&gt;0,球探欧赔数据录入表!D287*AZ$1,"")</f>
        <v>0</v>
      </c>
      <c r="BD284" s="4">
        <f>IF(球探欧赔数据录入表!E287&gt;0,球探欧赔数据录入表!E287*BA$1,"")</f>
        <v>0</v>
      </c>
    </row>
    <row r="285" spans="54:56">
      <c r="BB285" s="4">
        <f>IF(球探欧赔数据录入表!C288&gt;0,球探欧赔数据录入表!C288*AY$1,"")</f>
        <v>0</v>
      </c>
      <c r="BC285" s="4">
        <f>IF(球探欧赔数据录入表!D288&gt;0,球探欧赔数据录入表!D288*AZ$1,"")</f>
        <v>0</v>
      </c>
      <c r="BD285" s="4">
        <f>IF(球探欧赔数据录入表!E288&gt;0,球探欧赔数据录入表!E288*BA$1,"")</f>
        <v>0</v>
      </c>
    </row>
    <row r="286" spans="54:56">
      <c r="BB286" s="4">
        <f>IF(球探欧赔数据录入表!C289&gt;0,球探欧赔数据录入表!C289*AY$1,"")</f>
        <v>0</v>
      </c>
      <c r="BC286" s="4">
        <f>IF(球探欧赔数据录入表!D289&gt;0,球探欧赔数据录入表!D289*AZ$1,"")</f>
        <v>0</v>
      </c>
      <c r="BD286" s="4">
        <f>IF(球探欧赔数据录入表!E289&gt;0,球探欧赔数据录入表!E289*BA$1,"")</f>
        <v>0</v>
      </c>
    </row>
    <row r="287" spans="54:56">
      <c r="BB287" s="4">
        <f>IF(球探欧赔数据录入表!C290&gt;0,球探欧赔数据录入表!C290*AY$1,"")</f>
        <v>0</v>
      </c>
      <c r="BC287" s="4">
        <f>IF(球探欧赔数据录入表!D290&gt;0,球探欧赔数据录入表!D290*AZ$1,"")</f>
        <v>0</v>
      </c>
      <c r="BD287" s="4">
        <f>IF(球探欧赔数据录入表!E290&gt;0,球探欧赔数据录入表!E290*BA$1,"")</f>
        <v>0</v>
      </c>
    </row>
    <row r="288" spans="54:56">
      <c r="BB288" s="4">
        <f>IF(球探欧赔数据录入表!C291&gt;0,球探欧赔数据录入表!C291*AY$1,"")</f>
        <v>0</v>
      </c>
      <c r="BC288" s="4">
        <f>IF(球探欧赔数据录入表!D291&gt;0,球探欧赔数据录入表!D291*AZ$1,"")</f>
        <v>0</v>
      </c>
      <c r="BD288" s="4">
        <f>IF(球探欧赔数据录入表!E291&gt;0,球探欧赔数据录入表!E291*BA$1,"")</f>
        <v>0</v>
      </c>
    </row>
    <row r="289" spans="54:56">
      <c r="BB289" s="4">
        <f>IF(球探欧赔数据录入表!C292&gt;0,球探欧赔数据录入表!C292*AY$1,"")</f>
        <v>0</v>
      </c>
      <c r="BC289" s="4">
        <f>IF(球探欧赔数据录入表!D292&gt;0,球探欧赔数据录入表!D292*AZ$1,"")</f>
        <v>0</v>
      </c>
      <c r="BD289" s="4">
        <f>IF(球探欧赔数据录入表!E292&gt;0,球探欧赔数据录入表!E292*BA$1,"")</f>
        <v>0</v>
      </c>
    </row>
    <row r="290" spans="54:56">
      <c r="BB290" s="4">
        <f>IF(球探欧赔数据录入表!C293&gt;0,球探欧赔数据录入表!C293*AY$1,"")</f>
        <v>0</v>
      </c>
      <c r="BC290" s="4">
        <f>IF(球探欧赔数据录入表!D293&gt;0,球探欧赔数据录入表!D293*AZ$1,"")</f>
        <v>0</v>
      </c>
      <c r="BD290" s="4">
        <f>IF(球探欧赔数据录入表!E293&gt;0,球探欧赔数据录入表!E293*BA$1,"")</f>
        <v>0</v>
      </c>
    </row>
    <row r="291" spans="54:56">
      <c r="BB291" s="4">
        <f>IF(球探欧赔数据录入表!C294&gt;0,球探欧赔数据录入表!C294*AY$1,"")</f>
        <v>0</v>
      </c>
      <c r="BC291" s="4">
        <f>IF(球探欧赔数据录入表!D294&gt;0,球探欧赔数据录入表!D294*AZ$1,"")</f>
        <v>0</v>
      </c>
      <c r="BD291" s="4">
        <f>IF(球探欧赔数据录入表!E294&gt;0,球探欧赔数据录入表!E294*BA$1,"")</f>
        <v>0</v>
      </c>
    </row>
    <row r="292" spans="54:56">
      <c r="BB292" s="4">
        <f>IF(球探欧赔数据录入表!C295&gt;0,球探欧赔数据录入表!C295*AY$1,"")</f>
        <v>0</v>
      </c>
      <c r="BC292" s="4">
        <f>IF(球探欧赔数据录入表!D295&gt;0,球探欧赔数据录入表!D295*AZ$1,"")</f>
        <v>0</v>
      </c>
      <c r="BD292" s="4">
        <f>IF(球探欧赔数据录入表!E295&gt;0,球探欧赔数据录入表!E295*BA$1,"")</f>
        <v>0</v>
      </c>
    </row>
    <row r="293" spans="54:56">
      <c r="BB293" s="4">
        <f>IF(球探欧赔数据录入表!C296&gt;0,球探欧赔数据录入表!C296*AY$1,"")</f>
        <v>0</v>
      </c>
      <c r="BC293" s="4">
        <f>IF(球探欧赔数据录入表!D296&gt;0,球探欧赔数据录入表!D296*AZ$1,"")</f>
        <v>0</v>
      </c>
      <c r="BD293" s="4">
        <f>IF(球探欧赔数据录入表!E296&gt;0,球探欧赔数据录入表!E296*BA$1,"")</f>
        <v>0</v>
      </c>
    </row>
    <row r="294" spans="54:56">
      <c r="BB294" s="4">
        <f>IF(球探欧赔数据录入表!C297&gt;0,球探欧赔数据录入表!C297*AY$1,"")</f>
        <v>0</v>
      </c>
      <c r="BC294" s="4">
        <f>IF(球探欧赔数据录入表!D297&gt;0,球探欧赔数据录入表!D297*AZ$1,"")</f>
        <v>0</v>
      </c>
      <c r="BD294" s="4">
        <f>IF(球探欧赔数据录入表!E297&gt;0,球探欧赔数据录入表!E297*BA$1,"")</f>
        <v>0</v>
      </c>
    </row>
    <row r="295" spans="54:56">
      <c r="BB295" s="4">
        <f>IF(球探欧赔数据录入表!C298&gt;0,球探欧赔数据录入表!C298*AY$1,"")</f>
        <v>0</v>
      </c>
      <c r="BC295" s="4">
        <f>IF(球探欧赔数据录入表!D298&gt;0,球探欧赔数据录入表!D298*AZ$1,"")</f>
        <v>0</v>
      </c>
      <c r="BD295" s="4">
        <f>IF(球探欧赔数据录入表!E298&gt;0,球探欧赔数据录入表!E298*BA$1,"")</f>
        <v>0</v>
      </c>
    </row>
    <row r="296" spans="54:56">
      <c r="BB296" s="4">
        <f>IF(球探欧赔数据录入表!C299&gt;0,球探欧赔数据录入表!C299*AY$1,"")</f>
        <v>0</v>
      </c>
      <c r="BC296" s="4">
        <f>IF(球探欧赔数据录入表!D299&gt;0,球探欧赔数据录入表!D299*AZ$1,"")</f>
        <v>0</v>
      </c>
      <c r="BD296" s="4">
        <f>IF(球探欧赔数据录入表!E299&gt;0,球探欧赔数据录入表!E299*BA$1,"")</f>
        <v>0</v>
      </c>
    </row>
    <row r="297" spans="54:56">
      <c r="BB297" s="4">
        <f>IF(球探欧赔数据录入表!C300&gt;0,球探欧赔数据录入表!C300*AY$1,"")</f>
        <v>0</v>
      </c>
      <c r="BC297" s="4">
        <f>IF(球探欧赔数据录入表!D300&gt;0,球探欧赔数据录入表!D300*AZ$1,"")</f>
        <v>0</v>
      </c>
      <c r="BD297" s="4">
        <f>IF(球探欧赔数据录入表!E300&gt;0,球探欧赔数据录入表!E300*BA$1,"")</f>
        <v>0</v>
      </c>
    </row>
    <row r="298" spans="54:56">
      <c r="BB298" s="4">
        <f>IF(球探欧赔数据录入表!C301&gt;0,球探欧赔数据录入表!C301*AY$1,"")</f>
        <v>0</v>
      </c>
      <c r="BC298" s="4">
        <f>IF(球探欧赔数据录入表!D301&gt;0,球探欧赔数据录入表!D301*AZ$1,"")</f>
        <v>0</v>
      </c>
      <c r="BD298" s="4">
        <f>IF(球探欧赔数据录入表!E301&gt;0,球探欧赔数据录入表!E301*BA$1,"")</f>
        <v>0</v>
      </c>
    </row>
    <row r="299" spans="54:56">
      <c r="BB299" s="4">
        <f>IF(球探欧赔数据录入表!C302&gt;0,球探欧赔数据录入表!C302*AY$1,"")</f>
        <v>0</v>
      </c>
      <c r="BC299" s="4">
        <f>IF(球探欧赔数据录入表!D302&gt;0,球探欧赔数据录入表!D302*AZ$1,"")</f>
        <v>0</v>
      </c>
      <c r="BD299" s="4">
        <f>IF(球探欧赔数据录入表!E302&gt;0,球探欧赔数据录入表!E302*BA$1,"")</f>
        <v>0</v>
      </c>
    </row>
    <row r="300" spans="54:56">
      <c r="BB300" s="4">
        <f>IF(球探欧赔数据录入表!C303&gt;0,球探欧赔数据录入表!C303*AY$1,"")</f>
        <v>0</v>
      </c>
      <c r="BC300" s="4">
        <f>IF(球探欧赔数据录入表!D303&gt;0,球探欧赔数据录入表!D303*AZ$1,"")</f>
        <v>0</v>
      </c>
      <c r="BD300" s="4">
        <f>IF(球探欧赔数据录入表!E303&gt;0,球探欧赔数据录入表!E303*BA$1,"")</f>
        <v>0</v>
      </c>
    </row>
    <row r="301" spans="54:56">
      <c r="BB301" s="4">
        <f>IF(球探欧赔数据录入表!C304&gt;0,球探欧赔数据录入表!C304*AY$1,"")</f>
        <v>0</v>
      </c>
      <c r="BC301" s="4">
        <f>IF(球探欧赔数据录入表!D304&gt;0,球探欧赔数据录入表!D304*AZ$1,"")</f>
        <v>0</v>
      </c>
      <c r="BD301" s="4">
        <f>IF(球探欧赔数据录入表!E304&gt;0,球探欧赔数据录入表!E304*BA$1,"")</f>
        <v>0</v>
      </c>
    </row>
    <row r="302" spans="54:56">
      <c r="BB302" s="4">
        <f>IF(球探欧赔数据录入表!C305&gt;0,球探欧赔数据录入表!C305*AY$1,"")</f>
        <v>0</v>
      </c>
      <c r="BC302" s="4">
        <f>IF(球探欧赔数据录入表!D305&gt;0,球探欧赔数据录入表!D305*AZ$1,"")</f>
        <v>0</v>
      </c>
      <c r="BD302" s="4">
        <f>IF(球探欧赔数据录入表!E305&gt;0,球探欧赔数据录入表!E305*BA$1,"")</f>
        <v>0</v>
      </c>
    </row>
    <row r="303" spans="54:56">
      <c r="BB303" s="4">
        <f>IF(球探欧赔数据录入表!C306&gt;0,球探欧赔数据录入表!C306*AY$1,"")</f>
        <v>0</v>
      </c>
      <c r="BC303" s="4">
        <f>IF(球探欧赔数据录入表!D306&gt;0,球探欧赔数据录入表!D306*AZ$1,"")</f>
        <v>0</v>
      </c>
      <c r="BD303" s="4">
        <f>IF(球探欧赔数据录入表!E306&gt;0,球探欧赔数据录入表!E306*BA$1,"")</f>
        <v>0</v>
      </c>
    </row>
    <row r="304" spans="54:56">
      <c r="BB304" s="4">
        <f>IF(球探欧赔数据录入表!C307&gt;0,球探欧赔数据录入表!C307*AY$1,"")</f>
        <v>0</v>
      </c>
      <c r="BC304" s="4">
        <f>IF(球探欧赔数据录入表!D307&gt;0,球探欧赔数据录入表!D307*AZ$1,"")</f>
        <v>0</v>
      </c>
      <c r="BD304" s="4">
        <f>IF(球探欧赔数据录入表!E307&gt;0,球探欧赔数据录入表!E307*BA$1,"")</f>
        <v>0</v>
      </c>
    </row>
    <row r="305" spans="54:56">
      <c r="BB305" s="4">
        <f>IF(球探欧赔数据录入表!C308&gt;0,球探欧赔数据录入表!C308*AY$1,"")</f>
        <v>0</v>
      </c>
      <c r="BC305" s="4">
        <f>IF(球探欧赔数据录入表!D308&gt;0,球探欧赔数据录入表!D308*AZ$1,"")</f>
        <v>0</v>
      </c>
      <c r="BD305" s="4">
        <f>IF(球探欧赔数据录入表!E308&gt;0,球探欧赔数据录入表!E308*BA$1,"")</f>
        <v>0</v>
      </c>
    </row>
    <row r="306" spans="54:56">
      <c r="BB306" s="4">
        <f>IF(球探欧赔数据录入表!C309&gt;0,球探欧赔数据录入表!C309*AY$1,"")</f>
        <v>0</v>
      </c>
      <c r="BC306" s="4">
        <f>IF(球探欧赔数据录入表!D309&gt;0,球探欧赔数据录入表!D309*AZ$1,"")</f>
        <v>0</v>
      </c>
      <c r="BD306" s="4">
        <f>IF(球探欧赔数据录入表!E309&gt;0,球探欧赔数据录入表!E309*BA$1,"")</f>
        <v>0</v>
      </c>
    </row>
    <row r="307" spans="54:56">
      <c r="BB307" s="4">
        <f>IF(球探欧赔数据录入表!C310&gt;0,球探欧赔数据录入表!C310*AY$1,"")</f>
        <v>0</v>
      </c>
      <c r="BC307" s="4">
        <f>IF(球探欧赔数据录入表!D310&gt;0,球探欧赔数据录入表!D310*AZ$1,"")</f>
        <v>0</v>
      </c>
      <c r="BD307" s="4">
        <f>IF(球探欧赔数据录入表!E310&gt;0,球探欧赔数据录入表!E310*BA$1,"")</f>
        <v>0</v>
      </c>
    </row>
    <row r="308" spans="54:56">
      <c r="BB308" s="4">
        <f>IF(球探欧赔数据录入表!C311&gt;0,球探欧赔数据录入表!C311*AY$1,"")</f>
        <v>0</v>
      </c>
      <c r="BC308" s="4">
        <f>IF(球探欧赔数据录入表!D311&gt;0,球探欧赔数据录入表!D311*AZ$1,"")</f>
        <v>0</v>
      </c>
      <c r="BD308" s="4">
        <f>IF(球探欧赔数据录入表!E311&gt;0,球探欧赔数据录入表!E311*BA$1,"")</f>
        <v>0</v>
      </c>
    </row>
    <row r="309" spans="54:56">
      <c r="BB309" s="4">
        <f>IF(球探欧赔数据录入表!C312&gt;0,球探欧赔数据录入表!C312*AY$1,"")</f>
        <v>0</v>
      </c>
      <c r="BC309" s="4">
        <f>IF(球探欧赔数据录入表!D312&gt;0,球探欧赔数据录入表!D312*AZ$1,"")</f>
        <v>0</v>
      </c>
      <c r="BD309" s="4">
        <f>IF(球探欧赔数据录入表!E312&gt;0,球探欧赔数据录入表!E312*BA$1,"")</f>
        <v>0</v>
      </c>
    </row>
    <row r="310" spans="54:56">
      <c r="BB310" s="4">
        <f>IF(球探欧赔数据录入表!C313&gt;0,球探欧赔数据录入表!C313*AY$1,"")</f>
        <v>0</v>
      </c>
      <c r="BC310" s="4">
        <f>IF(球探欧赔数据录入表!D313&gt;0,球探欧赔数据录入表!D313*AZ$1,"")</f>
        <v>0</v>
      </c>
      <c r="BD310" s="4">
        <f>IF(球探欧赔数据录入表!E313&gt;0,球探欧赔数据录入表!E313*BA$1,"")</f>
        <v>0</v>
      </c>
    </row>
    <row r="311" spans="54:56">
      <c r="BB311" s="4">
        <f>IF(球探欧赔数据录入表!C314&gt;0,球探欧赔数据录入表!C314*AY$1,"")</f>
        <v>0</v>
      </c>
      <c r="BC311" s="4">
        <f>IF(球探欧赔数据录入表!D314&gt;0,球探欧赔数据录入表!D314*AZ$1,"")</f>
        <v>0</v>
      </c>
      <c r="BD311" s="4">
        <f>IF(球探欧赔数据录入表!E314&gt;0,球探欧赔数据录入表!E314*BA$1,"")</f>
        <v>0</v>
      </c>
    </row>
    <row r="312" spans="54:56">
      <c r="BB312" s="4">
        <f>IF(球探欧赔数据录入表!C315&gt;0,球探欧赔数据录入表!C315*AY$1,"")</f>
        <v>0</v>
      </c>
      <c r="BC312" s="4">
        <f>IF(球探欧赔数据录入表!D315&gt;0,球探欧赔数据录入表!D315*AZ$1,"")</f>
        <v>0</v>
      </c>
      <c r="BD312" s="4">
        <f>IF(球探欧赔数据录入表!E315&gt;0,球探欧赔数据录入表!E315*BA$1,"")</f>
        <v>0</v>
      </c>
    </row>
    <row r="313" spans="54:56">
      <c r="BB313" s="4">
        <f>IF(球探欧赔数据录入表!C316&gt;0,球探欧赔数据录入表!C316*AY$1,"")</f>
        <v>0</v>
      </c>
      <c r="BC313" s="4">
        <f>IF(球探欧赔数据录入表!D316&gt;0,球探欧赔数据录入表!D316*AZ$1,"")</f>
        <v>0</v>
      </c>
      <c r="BD313" s="4">
        <f>IF(球探欧赔数据录入表!E316&gt;0,球探欧赔数据录入表!E316*BA$1,"")</f>
        <v>0</v>
      </c>
    </row>
    <row r="314" spans="54:56">
      <c r="BB314" s="4">
        <f>IF(球探欧赔数据录入表!C317&gt;0,球探欧赔数据录入表!C317*AY$1,"")</f>
        <v>0</v>
      </c>
      <c r="BC314" s="4">
        <f>IF(球探欧赔数据录入表!D317&gt;0,球探欧赔数据录入表!D317*AZ$1,"")</f>
        <v>0</v>
      </c>
      <c r="BD314" s="4">
        <f>IF(球探欧赔数据录入表!E317&gt;0,球探欧赔数据录入表!E317*BA$1,"")</f>
        <v>0</v>
      </c>
    </row>
    <row r="315" spans="54:56">
      <c r="BB315" s="4">
        <f>IF(球探欧赔数据录入表!C318&gt;0,球探欧赔数据录入表!C318*AY$1,"")</f>
        <v>0</v>
      </c>
      <c r="BC315" s="4">
        <f>IF(球探欧赔数据录入表!D318&gt;0,球探欧赔数据录入表!D318*AZ$1,"")</f>
        <v>0</v>
      </c>
      <c r="BD315" s="4">
        <f>IF(球探欧赔数据录入表!E318&gt;0,球探欧赔数据录入表!E318*BA$1,"")</f>
        <v>0</v>
      </c>
    </row>
    <row r="316" spans="54:56">
      <c r="BB316" s="4">
        <f>IF(球探欧赔数据录入表!C319&gt;0,球探欧赔数据录入表!C319*AY$1,"")</f>
        <v>0</v>
      </c>
      <c r="BC316" s="4">
        <f>IF(球探欧赔数据录入表!D319&gt;0,球探欧赔数据录入表!D319*AZ$1,"")</f>
        <v>0</v>
      </c>
      <c r="BD316" s="4">
        <f>IF(球探欧赔数据录入表!E319&gt;0,球探欧赔数据录入表!E319*BA$1,"")</f>
        <v>0</v>
      </c>
    </row>
    <row r="317" spans="54:56">
      <c r="BB317" s="4">
        <f>IF(球探欧赔数据录入表!C320&gt;0,球探欧赔数据录入表!C320*AY$1,"")</f>
        <v>0</v>
      </c>
      <c r="BC317" s="4">
        <f>IF(球探欧赔数据录入表!D320&gt;0,球探欧赔数据录入表!D320*AZ$1,"")</f>
        <v>0</v>
      </c>
      <c r="BD317" s="4">
        <f>IF(球探欧赔数据录入表!E320&gt;0,球探欧赔数据录入表!E320*BA$1,"")</f>
        <v>0</v>
      </c>
    </row>
    <row r="318" spans="54:56">
      <c r="BB318" s="4">
        <f>IF(球探欧赔数据录入表!C321&gt;0,球探欧赔数据录入表!C321*AY$1,"")</f>
        <v>0</v>
      </c>
      <c r="BC318" s="4">
        <f>IF(球探欧赔数据录入表!D321&gt;0,球探欧赔数据录入表!D321*AZ$1,"")</f>
        <v>0</v>
      </c>
      <c r="BD318" s="4">
        <f>IF(球探欧赔数据录入表!E321&gt;0,球探欧赔数据录入表!E321*BA$1,"")</f>
        <v>0</v>
      </c>
    </row>
    <row r="319" spans="54:56">
      <c r="BB319" s="4">
        <f>IF(球探欧赔数据录入表!C322&gt;0,球探欧赔数据录入表!C322*AY$1,"")</f>
        <v>0</v>
      </c>
      <c r="BC319" s="4">
        <f>IF(球探欧赔数据录入表!D322&gt;0,球探欧赔数据录入表!D322*AZ$1,"")</f>
        <v>0</v>
      </c>
      <c r="BD319" s="4">
        <f>IF(球探欧赔数据录入表!E322&gt;0,球探欧赔数据录入表!E322*BA$1,"")</f>
        <v>0</v>
      </c>
    </row>
    <row r="320" spans="54:56">
      <c r="BB320" s="4">
        <f>IF(球探欧赔数据录入表!C323&gt;0,球探欧赔数据录入表!C323*AY$1,"")</f>
        <v>0</v>
      </c>
      <c r="BC320" s="4">
        <f>IF(球探欧赔数据录入表!D323&gt;0,球探欧赔数据录入表!D323*AZ$1,"")</f>
        <v>0</v>
      </c>
      <c r="BD320" s="4">
        <f>IF(球探欧赔数据录入表!E323&gt;0,球探欧赔数据录入表!E323*BA$1,"")</f>
        <v>0</v>
      </c>
    </row>
    <row r="321" spans="54:56">
      <c r="BB321" s="4">
        <f>IF(球探欧赔数据录入表!C324&gt;0,球探欧赔数据录入表!C324*AY$1,"")</f>
        <v>0</v>
      </c>
      <c r="BC321" s="4">
        <f>IF(球探欧赔数据录入表!D324&gt;0,球探欧赔数据录入表!D324*AZ$1,"")</f>
        <v>0</v>
      </c>
      <c r="BD321" s="4">
        <f>IF(球探欧赔数据录入表!E324&gt;0,球探欧赔数据录入表!E324*BA$1,"")</f>
        <v>0</v>
      </c>
    </row>
    <row r="322" spans="54:56">
      <c r="BB322" s="4">
        <f>IF(球探欧赔数据录入表!C325&gt;0,球探欧赔数据录入表!C325*AY$1,"")</f>
        <v>0</v>
      </c>
      <c r="BC322" s="4">
        <f>IF(球探欧赔数据录入表!D325&gt;0,球探欧赔数据录入表!D325*AZ$1,"")</f>
        <v>0</v>
      </c>
      <c r="BD322" s="4">
        <f>IF(球探欧赔数据录入表!E325&gt;0,球探欧赔数据录入表!E325*BA$1,"")</f>
        <v>0</v>
      </c>
    </row>
    <row r="323" spans="54:56">
      <c r="BB323" s="4">
        <f>IF(球探欧赔数据录入表!C326&gt;0,球探欧赔数据录入表!C326*AY$1,"")</f>
        <v>0</v>
      </c>
      <c r="BC323" s="4">
        <f>IF(球探欧赔数据录入表!D326&gt;0,球探欧赔数据录入表!D326*AZ$1,"")</f>
        <v>0</v>
      </c>
      <c r="BD323" s="4">
        <f>IF(球探欧赔数据录入表!E326&gt;0,球探欧赔数据录入表!E326*BA$1,"")</f>
        <v>0</v>
      </c>
    </row>
    <row r="324" spans="54:56">
      <c r="BB324" s="4">
        <f>IF(球探欧赔数据录入表!C327&gt;0,球探欧赔数据录入表!C327*AY$1,"")</f>
        <v>0</v>
      </c>
      <c r="BC324" s="4">
        <f>IF(球探欧赔数据录入表!D327&gt;0,球探欧赔数据录入表!D327*AZ$1,"")</f>
        <v>0</v>
      </c>
      <c r="BD324" s="4">
        <f>IF(球探欧赔数据录入表!E327&gt;0,球探欧赔数据录入表!E327*BA$1,"")</f>
        <v>0</v>
      </c>
    </row>
    <row r="325" spans="54:56">
      <c r="BB325" s="4">
        <f>IF(球探欧赔数据录入表!C328&gt;0,球探欧赔数据录入表!C328*AY$1,"")</f>
        <v>0</v>
      </c>
      <c r="BC325" s="4">
        <f>IF(球探欧赔数据录入表!D328&gt;0,球探欧赔数据录入表!D328*AZ$1,"")</f>
        <v>0</v>
      </c>
      <c r="BD325" s="4">
        <f>IF(球探欧赔数据录入表!E328&gt;0,球探欧赔数据录入表!E328*BA$1,"")</f>
        <v>0</v>
      </c>
    </row>
    <row r="326" spans="54:56">
      <c r="BB326" s="4">
        <f>IF(球探欧赔数据录入表!C329&gt;0,球探欧赔数据录入表!C329*AY$1,"")</f>
        <v>0</v>
      </c>
      <c r="BC326" s="4">
        <f>IF(球探欧赔数据录入表!D329&gt;0,球探欧赔数据录入表!D329*AZ$1,"")</f>
        <v>0</v>
      </c>
      <c r="BD326" s="4">
        <f>IF(球探欧赔数据录入表!E329&gt;0,球探欧赔数据录入表!E329*BA$1,"")</f>
        <v>0</v>
      </c>
    </row>
    <row r="327" spans="54:56">
      <c r="BB327" s="4">
        <f>IF(球探欧赔数据录入表!C330&gt;0,球探欧赔数据录入表!C330*AY$1,"")</f>
        <v>0</v>
      </c>
      <c r="BC327" s="4">
        <f>IF(球探欧赔数据录入表!D330&gt;0,球探欧赔数据录入表!D330*AZ$1,"")</f>
        <v>0</v>
      </c>
      <c r="BD327" s="4">
        <f>IF(球探欧赔数据录入表!E330&gt;0,球探欧赔数据录入表!E330*BA$1,"")</f>
        <v>0</v>
      </c>
    </row>
    <row r="328" spans="54:56">
      <c r="BB328" s="4">
        <f>IF(球探欧赔数据录入表!C331&gt;0,球探欧赔数据录入表!C331*AY$1,"")</f>
        <v>0</v>
      </c>
      <c r="BC328" s="4">
        <f>IF(球探欧赔数据录入表!D331&gt;0,球探欧赔数据录入表!D331*AZ$1,"")</f>
        <v>0</v>
      </c>
      <c r="BD328" s="4">
        <f>IF(球探欧赔数据录入表!E331&gt;0,球探欧赔数据录入表!E331*BA$1,"")</f>
        <v>0</v>
      </c>
    </row>
    <row r="329" spans="54:56">
      <c r="BB329" s="4">
        <f>IF(球探欧赔数据录入表!C332&gt;0,球探欧赔数据录入表!C332*AY$1,"")</f>
        <v>0</v>
      </c>
      <c r="BC329" s="4">
        <f>IF(球探欧赔数据录入表!D332&gt;0,球探欧赔数据录入表!D332*AZ$1,"")</f>
        <v>0</v>
      </c>
      <c r="BD329" s="4">
        <f>IF(球探欧赔数据录入表!E332&gt;0,球探欧赔数据录入表!E332*BA$1,"")</f>
        <v>0</v>
      </c>
    </row>
    <row r="330" spans="54:56">
      <c r="BB330" s="4">
        <f>IF(球探欧赔数据录入表!C333&gt;0,球探欧赔数据录入表!C333*AY$1,"")</f>
        <v>0</v>
      </c>
      <c r="BC330" s="4">
        <f>IF(球探欧赔数据录入表!D333&gt;0,球探欧赔数据录入表!D333*AZ$1,"")</f>
        <v>0</v>
      </c>
      <c r="BD330" s="4">
        <f>IF(球探欧赔数据录入表!E333&gt;0,球探欧赔数据录入表!E333*BA$1,"")</f>
        <v>0</v>
      </c>
    </row>
    <row r="331" spans="54:56">
      <c r="BB331" s="4">
        <f>IF(球探欧赔数据录入表!C334&gt;0,球探欧赔数据录入表!C334*AY$1,"")</f>
        <v>0</v>
      </c>
      <c r="BC331" s="4">
        <f>IF(球探欧赔数据录入表!D334&gt;0,球探欧赔数据录入表!D334*AZ$1,"")</f>
        <v>0</v>
      </c>
      <c r="BD331" s="4">
        <f>IF(球探欧赔数据录入表!E334&gt;0,球探欧赔数据录入表!E334*BA$1,"")</f>
        <v>0</v>
      </c>
    </row>
    <row r="332" spans="54:56">
      <c r="BB332" s="4">
        <f>IF(球探欧赔数据录入表!C335&gt;0,球探欧赔数据录入表!C335*AY$1,"")</f>
        <v>0</v>
      </c>
      <c r="BC332" s="4">
        <f>IF(球探欧赔数据录入表!D335&gt;0,球探欧赔数据录入表!D335*AZ$1,"")</f>
        <v>0</v>
      </c>
      <c r="BD332" s="4">
        <f>IF(球探欧赔数据录入表!E335&gt;0,球探欧赔数据录入表!E335*BA$1,"")</f>
        <v>0</v>
      </c>
    </row>
    <row r="333" spans="54:56">
      <c r="BB333" s="4">
        <f>IF(球探欧赔数据录入表!C336&gt;0,球探欧赔数据录入表!C336*AY$1,"")</f>
        <v>0</v>
      </c>
      <c r="BC333" s="4">
        <f>IF(球探欧赔数据录入表!D336&gt;0,球探欧赔数据录入表!D336*AZ$1,"")</f>
        <v>0</v>
      </c>
      <c r="BD333" s="4">
        <f>IF(球探欧赔数据录入表!E336&gt;0,球探欧赔数据录入表!E336*BA$1,"")</f>
        <v>0</v>
      </c>
    </row>
    <row r="334" spans="54:56">
      <c r="BB334" s="4">
        <f>IF(球探欧赔数据录入表!C337&gt;0,球探欧赔数据录入表!C337*AY$1,"")</f>
        <v>0</v>
      </c>
      <c r="BC334" s="4">
        <f>IF(球探欧赔数据录入表!D337&gt;0,球探欧赔数据录入表!D337*AZ$1,"")</f>
        <v>0</v>
      </c>
      <c r="BD334" s="4">
        <f>IF(球探欧赔数据录入表!E337&gt;0,球探欧赔数据录入表!E337*BA$1,"")</f>
        <v>0</v>
      </c>
    </row>
    <row r="335" spans="54:56">
      <c r="BB335" s="4">
        <f>IF(球探欧赔数据录入表!C338&gt;0,球探欧赔数据录入表!C338*AY$1,"")</f>
        <v>0</v>
      </c>
      <c r="BC335" s="4">
        <f>IF(球探欧赔数据录入表!D338&gt;0,球探欧赔数据录入表!D338*AZ$1,"")</f>
        <v>0</v>
      </c>
      <c r="BD335" s="4">
        <f>IF(球探欧赔数据录入表!E338&gt;0,球探欧赔数据录入表!E338*BA$1,"")</f>
        <v>0</v>
      </c>
    </row>
    <row r="336" spans="54:56">
      <c r="BB336" s="4">
        <f>IF(球探欧赔数据录入表!C339&gt;0,球探欧赔数据录入表!C339*AY$1,"")</f>
        <v>0</v>
      </c>
      <c r="BC336" s="4">
        <f>IF(球探欧赔数据录入表!D339&gt;0,球探欧赔数据录入表!D339*AZ$1,"")</f>
        <v>0</v>
      </c>
      <c r="BD336" s="4">
        <f>IF(球探欧赔数据录入表!E339&gt;0,球探欧赔数据录入表!E339*BA$1,"")</f>
        <v>0</v>
      </c>
    </row>
    <row r="337" spans="54:56">
      <c r="BB337" s="4">
        <f>IF(球探欧赔数据录入表!C340&gt;0,球探欧赔数据录入表!C340*AY$1,"")</f>
        <v>0</v>
      </c>
      <c r="BC337" s="4">
        <f>IF(球探欧赔数据录入表!D340&gt;0,球探欧赔数据录入表!D340*AZ$1,"")</f>
        <v>0</v>
      </c>
      <c r="BD337" s="4">
        <f>IF(球探欧赔数据录入表!E340&gt;0,球探欧赔数据录入表!E340*BA$1,"")</f>
        <v>0</v>
      </c>
    </row>
    <row r="338" spans="54:56">
      <c r="BB338" s="4">
        <f>IF(球探欧赔数据录入表!C341&gt;0,球探欧赔数据录入表!C341*AY$1,"")</f>
        <v>0</v>
      </c>
      <c r="BC338" s="4">
        <f>IF(球探欧赔数据录入表!D341&gt;0,球探欧赔数据录入表!D341*AZ$1,"")</f>
        <v>0</v>
      </c>
      <c r="BD338" s="4">
        <f>IF(球探欧赔数据录入表!E341&gt;0,球探欧赔数据录入表!E341*BA$1,"")</f>
        <v>0</v>
      </c>
    </row>
    <row r="339" spans="54:56">
      <c r="BB339" s="4">
        <f>IF(球探欧赔数据录入表!C342&gt;0,球探欧赔数据录入表!C342*AY$1,"")</f>
        <v>0</v>
      </c>
      <c r="BC339" s="4">
        <f>IF(球探欧赔数据录入表!D342&gt;0,球探欧赔数据录入表!D342*AZ$1,"")</f>
        <v>0</v>
      </c>
      <c r="BD339" s="4">
        <f>IF(球探欧赔数据录入表!E342&gt;0,球探欧赔数据录入表!E342*BA$1,"")</f>
        <v>0</v>
      </c>
    </row>
    <row r="340" spans="54:56">
      <c r="BB340" s="4">
        <f>IF(球探欧赔数据录入表!C343&gt;0,球探欧赔数据录入表!C343*AY$1,"")</f>
        <v>0</v>
      </c>
      <c r="BC340" s="4">
        <f>IF(球探欧赔数据录入表!D343&gt;0,球探欧赔数据录入表!D343*AZ$1,"")</f>
        <v>0</v>
      </c>
      <c r="BD340" s="4">
        <f>IF(球探欧赔数据录入表!E343&gt;0,球探欧赔数据录入表!E343*BA$1,"")</f>
        <v>0</v>
      </c>
    </row>
    <row r="341" spans="54:56">
      <c r="BB341" s="4">
        <f>IF(球探欧赔数据录入表!C344&gt;0,球探欧赔数据录入表!C344*AY$1,"")</f>
        <v>0</v>
      </c>
      <c r="BC341" s="4">
        <f>IF(球探欧赔数据录入表!D344&gt;0,球探欧赔数据录入表!D344*AZ$1,"")</f>
        <v>0</v>
      </c>
      <c r="BD341" s="4">
        <f>IF(球探欧赔数据录入表!E344&gt;0,球探欧赔数据录入表!E344*BA$1,"")</f>
        <v>0</v>
      </c>
    </row>
    <row r="342" spans="54:56">
      <c r="BB342" s="4">
        <f>IF(球探欧赔数据录入表!C345&gt;0,球探欧赔数据录入表!C345*AY$1,"")</f>
        <v>0</v>
      </c>
      <c r="BC342" s="4">
        <f>IF(球探欧赔数据录入表!D345&gt;0,球探欧赔数据录入表!D345*AZ$1,"")</f>
        <v>0</v>
      </c>
      <c r="BD342" s="4">
        <f>IF(球探欧赔数据录入表!E345&gt;0,球探欧赔数据录入表!E345*BA$1,"")</f>
        <v>0</v>
      </c>
    </row>
    <row r="343" spans="54:56">
      <c r="BB343" s="4">
        <f>IF(球探欧赔数据录入表!C346&gt;0,球探欧赔数据录入表!C346*AY$1,"")</f>
        <v>0</v>
      </c>
      <c r="BC343" s="4">
        <f>IF(球探欧赔数据录入表!D346&gt;0,球探欧赔数据录入表!D346*AZ$1,"")</f>
        <v>0</v>
      </c>
      <c r="BD343" s="4">
        <f>IF(球探欧赔数据录入表!E346&gt;0,球探欧赔数据录入表!E346*BA$1,"")</f>
        <v>0</v>
      </c>
    </row>
    <row r="344" spans="54:56">
      <c r="BB344" s="4">
        <f>IF(球探欧赔数据录入表!C347&gt;0,球探欧赔数据录入表!C347*AY$1,"")</f>
        <v>0</v>
      </c>
      <c r="BC344" s="4">
        <f>IF(球探欧赔数据录入表!D347&gt;0,球探欧赔数据录入表!D347*AZ$1,"")</f>
        <v>0</v>
      </c>
      <c r="BD344" s="4">
        <f>IF(球探欧赔数据录入表!E347&gt;0,球探欧赔数据录入表!E347*BA$1,"")</f>
        <v>0</v>
      </c>
    </row>
    <row r="345" spans="54:56">
      <c r="BB345" s="4">
        <f>IF(球探欧赔数据录入表!C348&gt;0,球探欧赔数据录入表!C348*AY$1,"")</f>
        <v>0</v>
      </c>
      <c r="BC345" s="4">
        <f>IF(球探欧赔数据录入表!D348&gt;0,球探欧赔数据录入表!D348*AZ$1,"")</f>
        <v>0</v>
      </c>
      <c r="BD345" s="4">
        <f>IF(球探欧赔数据录入表!E348&gt;0,球探欧赔数据录入表!E348*BA$1,"")</f>
        <v>0</v>
      </c>
    </row>
    <row r="346" spans="54:56">
      <c r="BB346" s="4">
        <f>IF(球探欧赔数据录入表!C349&gt;0,球探欧赔数据录入表!C349*AY$1,"")</f>
        <v>0</v>
      </c>
      <c r="BC346" s="4">
        <f>IF(球探欧赔数据录入表!D349&gt;0,球探欧赔数据录入表!D349*AZ$1,"")</f>
        <v>0</v>
      </c>
      <c r="BD346" s="4">
        <f>IF(球探欧赔数据录入表!E349&gt;0,球探欧赔数据录入表!E349*BA$1,"")</f>
        <v>0</v>
      </c>
    </row>
    <row r="347" spans="54:56">
      <c r="BB347" s="4">
        <f>IF(球探欧赔数据录入表!C350&gt;0,球探欧赔数据录入表!C350*AY$1,"")</f>
        <v>0</v>
      </c>
      <c r="BC347" s="4">
        <f>IF(球探欧赔数据录入表!D350&gt;0,球探欧赔数据录入表!D350*AZ$1,"")</f>
        <v>0</v>
      </c>
      <c r="BD347" s="4">
        <f>IF(球探欧赔数据录入表!E350&gt;0,球探欧赔数据录入表!E350*BA$1,"")</f>
        <v>0</v>
      </c>
    </row>
    <row r="348" spans="54:56">
      <c r="BB348" s="4">
        <f>IF(球探欧赔数据录入表!C351&gt;0,球探欧赔数据录入表!C351*AY$1,"")</f>
        <v>0</v>
      </c>
      <c r="BC348" s="4">
        <f>IF(球探欧赔数据录入表!D351&gt;0,球探欧赔数据录入表!D351*AZ$1,"")</f>
        <v>0</v>
      </c>
      <c r="BD348" s="4">
        <f>IF(球探欧赔数据录入表!E351&gt;0,球探欧赔数据录入表!E351*BA$1,"")</f>
        <v>0</v>
      </c>
    </row>
    <row r="349" spans="54:56">
      <c r="BB349" s="4">
        <f>IF(球探欧赔数据录入表!C352&gt;0,球探欧赔数据录入表!C352*AY$1,"")</f>
        <v>0</v>
      </c>
      <c r="BC349" s="4">
        <f>IF(球探欧赔数据录入表!D352&gt;0,球探欧赔数据录入表!D352*AZ$1,"")</f>
        <v>0</v>
      </c>
      <c r="BD349" s="4">
        <f>IF(球探欧赔数据录入表!E352&gt;0,球探欧赔数据录入表!E352*BA$1,"")</f>
        <v>0</v>
      </c>
    </row>
    <row r="350" spans="54:56">
      <c r="BB350" s="4">
        <f>IF(球探欧赔数据录入表!C353&gt;0,球探欧赔数据录入表!C353*AY$1,"")</f>
        <v>0</v>
      </c>
      <c r="BC350" s="4">
        <f>IF(球探欧赔数据录入表!D353&gt;0,球探欧赔数据录入表!D353*AZ$1,"")</f>
        <v>0</v>
      </c>
      <c r="BD350" s="4">
        <f>IF(球探欧赔数据录入表!E353&gt;0,球探欧赔数据录入表!E353*BA$1,"")</f>
        <v>0</v>
      </c>
    </row>
    <row r="351" spans="54:56">
      <c r="BB351" s="4">
        <f>IF(球探欧赔数据录入表!C354&gt;0,球探欧赔数据录入表!C354*AY$1,"")</f>
        <v>0</v>
      </c>
      <c r="BC351" s="4">
        <f>IF(球探欧赔数据录入表!D354&gt;0,球探欧赔数据录入表!D354*AZ$1,"")</f>
        <v>0</v>
      </c>
      <c r="BD351" s="4">
        <f>IF(球探欧赔数据录入表!E354&gt;0,球探欧赔数据录入表!E354*BA$1,"")</f>
        <v>0</v>
      </c>
    </row>
    <row r="352" spans="54:56">
      <c r="BB352" s="4">
        <f>IF(球探欧赔数据录入表!C355&gt;0,球探欧赔数据录入表!C355*AY$1,"")</f>
        <v>0</v>
      </c>
      <c r="BC352" s="4">
        <f>IF(球探欧赔数据录入表!D355&gt;0,球探欧赔数据录入表!D355*AZ$1,"")</f>
        <v>0</v>
      </c>
      <c r="BD352" s="4">
        <f>IF(球探欧赔数据录入表!E355&gt;0,球探欧赔数据录入表!E355*BA$1,"")</f>
        <v>0</v>
      </c>
    </row>
    <row r="353" spans="54:56">
      <c r="BB353" s="4">
        <f>IF(球探欧赔数据录入表!C356&gt;0,球探欧赔数据录入表!C356*AY$1,"")</f>
        <v>0</v>
      </c>
      <c r="BC353" s="4">
        <f>IF(球探欧赔数据录入表!D356&gt;0,球探欧赔数据录入表!D356*AZ$1,"")</f>
        <v>0</v>
      </c>
      <c r="BD353" s="4">
        <f>IF(球探欧赔数据录入表!E356&gt;0,球探欧赔数据录入表!E356*BA$1,"")</f>
        <v>0</v>
      </c>
    </row>
    <row r="354" spans="54:56">
      <c r="BB354" s="4">
        <f>IF(球探欧赔数据录入表!C357&gt;0,球探欧赔数据录入表!C357*AY$1,"")</f>
        <v>0</v>
      </c>
      <c r="BC354" s="4">
        <f>IF(球探欧赔数据录入表!D357&gt;0,球探欧赔数据录入表!D357*AZ$1,"")</f>
        <v>0</v>
      </c>
      <c r="BD354" s="4">
        <f>IF(球探欧赔数据录入表!E357&gt;0,球探欧赔数据录入表!E357*BA$1,"")</f>
        <v>0</v>
      </c>
    </row>
    <row r="355" spans="54:56">
      <c r="BB355" s="4">
        <f>IF(球探欧赔数据录入表!C358&gt;0,球探欧赔数据录入表!C358*AY$1,"")</f>
        <v>0</v>
      </c>
      <c r="BC355" s="4">
        <f>IF(球探欧赔数据录入表!D358&gt;0,球探欧赔数据录入表!D358*AZ$1,"")</f>
        <v>0</v>
      </c>
      <c r="BD355" s="4">
        <f>IF(球探欧赔数据录入表!E358&gt;0,球探欧赔数据录入表!E358*BA$1,"")</f>
        <v>0</v>
      </c>
    </row>
    <row r="356" spans="54:56">
      <c r="BB356" s="4">
        <f>IF(球探欧赔数据录入表!C359&gt;0,球探欧赔数据录入表!C359*AY$1,"")</f>
        <v>0</v>
      </c>
      <c r="BC356" s="4">
        <f>IF(球探欧赔数据录入表!D359&gt;0,球探欧赔数据录入表!D359*AZ$1,"")</f>
        <v>0</v>
      </c>
      <c r="BD356" s="4">
        <f>IF(球探欧赔数据录入表!E359&gt;0,球探欧赔数据录入表!E359*BA$1,"")</f>
        <v>0</v>
      </c>
    </row>
    <row r="357" spans="54:56">
      <c r="BB357" s="4">
        <f>IF(球探欧赔数据录入表!C360&gt;0,球探欧赔数据录入表!C360*AY$1,"")</f>
        <v>0</v>
      </c>
      <c r="BC357" s="4">
        <f>IF(球探欧赔数据录入表!D360&gt;0,球探欧赔数据录入表!D360*AZ$1,"")</f>
        <v>0</v>
      </c>
      <c r="BD357" s="4">
        <f>IF(球探欧赔数据录入表!E360&gt;0,球探欧赔数据录入表!E360*BA$1,"")</f>
        <v>0</v>
      </c>
    </row>
    <row r="358" spans="54:56">
      <c r="BB358" s="4">
        <f>IF(球探欧赔数据录入表!C361&gt;0,球探欧赔数据录入表!C361*AY$1,"")</f>
        <v>0</v>
      </c>
      <c r="BC358" s="4">
        <f>IF(球探欧赔数据录入表!D361&gt;0,球探欧赔数据录入表!D361*AZ$1,"")</f>
        <v>0</v>
      </c>
      <c r="BD358" s="4">
        <f>IF(球探欧赔数据录入表!E361&gt;0,球探欧赔数据录入表!E361*BA$1,"")</f>
        <v>0</v>
      </c>
    </row>
    <row r="359" spans="54:56">
      <c r="BB359" s="4">
        <f>IF(球探欧赔数据录入表!C362&gt;0,球探欧赔数据录入表!C362*AY$1,"")</f>
        <v>0</v>
      </c>
      <c r="BC359" s="4">
        <f>IF(球探欧赔数据录入表!D362&gt;0,球探欧赔数据录入表!D362*AZ$1,"")</f>
        <v>0</v>
      </c>
      <c r="BD359" s="4">
        <f>IF(球探欧赔数据录入表!E362&gt;0,球探欧赔数据录入表!E362*BA$1,"")</f>
        <v>0</v>
      </c>
    </row>
    <row r="360" spans="54:56">
      <c r="BB360" s="4">
        <f>IF(球探欧赔数据录入表!C363&gt;0,球探欧赔数据录入表!C363*AY$1,"")</f>
        <v>0</v>
      </c>
      <c r="BC360" s="4">
        <f>IF(球探欧赔数据录入表!D363&gt;0,球探欧赔数据录入表!D363*AZ$1,"")</f>
        <v>0</v>
      </c>
      <c r="BD360" s="4">
        <f>IF(球探欧赔数据录入表!E363&gt;0,球探欧赔数据录入表!E363*BA$1,"")</f>
        <v>0</v>
      </c>
    </row>
    <row r="361" spans="54:56">
      <c r="BB361" s="4">
        <f>IF(球探欧赔数据录入表!C364&gt;0,球探欧赔数据录入表!C364*AY$1,"")</f>
        <v>0</v>
      </c>
      <c r="BC361" s="4">
        <f>IF(球探欧赔数据录入表!D364&gt;0,球探欧赔数据录入表!D364*AZ$1,"")</f>
        <v>0</v>
      </c>
      <c r="BD361" s="4">
        <f>IF(球探欧赔数据录入表!E364&gt;0,球探欧赔数据录入表!E364*BA$1,"")</f>
        <v>0</v>
      </c>
    </row>
    <row r="362" spans="54:56">
      <c r="BB362" s="4">
        <f>IF(球探欧赔数据录入表!C365&gt;0,球探欧赔数据录入表!C365*AY$1,"")</f>
        <v>0</v>
      </c>
      <c r="BC362" s="4">
        <f>IF(球探欧赔数据录入表!D365&gt;0,球探欧赔数据录入表!D365*AZ$1,"")</f>
        <v>0</v>
      </c>
      <c r="BD362" s="4">
        <f>IF(球探欧赔数据录入表!E365&gt;0,球探欧赔数据录入表!E365*BA$1,"")</f>
        <v>0</v>
      </c>
    </row>
    <row r="363" spans="54:56">
      <c r="BB363" s="4">
        <f>IF(球探欧赔数据录入表!C366&gt;0,球探欧赔数据录入表!C366*AY$1,"")</f>
        <v>0</v>
      </c>
      <c r="BC363" s="4">
        <f>IF(球探欧赔数据录入表!D366&gt;0,球探欧赔数据录入表!D366*AZ$1,"")</f>
        <v>0</v>
      </c>
      <c r="BD363" s="4">
        <f>IF(球探欧赔数据录入表!E366&gt;0,球探欧赔数据录入表!E366*BA$1,"")</f>
        <v>0</v>
      </c>
    </row>
    <row r="364" spans="54:56">
      <c r="BB364" s="4">
        <f>IF(球探欧赔数据录入表!C367&gt;0,球探欧赔数据录入表!C367*AY$1,"")</f>
        <v>0</v>
      </c>
      <c r="BC364" s="4">
        <f>IF(球探欧赔数据录入表!D367&gt;0,球探欧赔数据录入表!D367*AZ$1,"")</f>
        <v>0</v>
      </c>
      <c r="BD364" s="4">
        <f>IF(球探欧赔数据录入表!E367&gt;0,球探欧赔数据录入表!E367*BA$1,"")</f>
        <v>0</v>
      </c>
    </row>
    <row r="365" spans="54:56">
      <c r="BB365" s="4">
        <f>IF(球探欧赔数据录入表!C368&gt;0,球探欧赔数据录入表!C368*AY$1,"")</f>
        <v>0</v>
      </c>
      <c r="BC365" s="4">
        <f>IF(球探欧赔数据录入表!D368&gt;0,球探欧赔数据录入表!D368*AZ$1,"")</f>
        <v>0</v>
      </c>
      <c r="BD365" s="4">
        <f>IF(球探欧赔数据录入表!E368&gt;0,球探欧赔数据录入表!E368*BA$1,"")</f>
        <v>0</v>
      </c>
    </row>
    <row r="366" spans="54:56">
      <c r="BB366" s="4">
        <f>IF(球探欧赔数据录入表!C369&gt;0,球探欧赔数据录入表!C369*AY$1,"")</f>
        <v>0</v>
      </c>
      <c r="BC366" s="4">
        <f>IF(球探欧赔数据录入表!D369&gt;0,球探欧赔数据录入表!D369*AZ$1,"")</f>
        <v>0</v>
      </c>
      <c r="BD366" s="4">
        <f>IF(球探欧赔数据录入表!E369&gt;0,球探欧赔数据录入表!E369*BA$1,"")</f>
        <v>0</v>
      </c>
    </row>
    <row r="367" spans="54:56">
      <c r="BB367" s="4">
        <f>IF(球探欧赔数据录入表!C370&gt;0,球探欧赔数据录入表!C370*AY$1,"")</f>
        <v>0</v>
      </c>
      <c r="BC367" s="4">
        <f>IF(球探欧赔数据录入表!D370&gt;0,球探欧赔数据录入表!D370*AZ$1,"")</f>
        <v>0</v>
      </c>
      <c r="BD367" s="4">
        <f>IF(球探欧赔数据录入表!E370&gt;0,球探欧赔数据录入表!E370*BA$1,"")</f>
        <v>0</v>
      </c>
    </row>
    <row r="368" spans="54:56">
      <c r="BB368" s="4">
        <f>IF(球探欧赔数据录入表!C371&gt;0,球探欧赔数据录入表!C371*AY$1,"")</f>
        <v>0</v>
      </c>
      <c r="BC368" s="4">
        <f>IF(球探欧赔数据录入表!D371&gt;0,球探欧赔数据录入表!D371*AZ$1,"")</f>
        <v>0</v>
      </c>
      <c r="BD368" s="4">
        <f>IF(球探欧赔数据录入表!E371&gt;0,球探欧赔数据录入表!E371*BA$1,"")</f>
        <v>0</v>
      </c>
    </row>
    <row r="369" spans="54:56">
      <c r="BB369" s="4">
        <f>IF(球探欧赔数据录入表!C372&gt;0,球探欧赔数据录入表!C372*AY$1,"")</f>
        <v>0</v>
      </c>
      <c r="BC369" s="4">
        <f>IF(球探欧赔数据录入表!D372&gt;0,球探欧赔数据录入表!D372*AZ$1,"")</f>
        <v>0</v>
      </c>
      <c r="BD369" s="4">
        <f>IF(球探欧赔数据录入表!E372&gt;0,球探欧赔数据录入表!E372*BA$1,"")</f>
        <v>0</v>
      </c>
    </row>
    <row r="370" spans="54:56">
      <c r="BB370" s="4">
        <f>IF(球探欧赔数据录入表!C373&gt;0,球探欧赔数据录入表!C373*AY$1,"")</f>
        <v>0</v>
      </c>
      <c r="BC370" s="4">
        <f>IF(球探欧赔数据录入表!D373&gt;0,球探欧赔数据录入表!D373*AZ$1,"")</f>
        <v>0</v>
      </c>
      <c r="BD370" s="4">
        <f>IF(球探欧赔数据录入表!E373&gt;0,球探欧赔数据录入表!E373*BA$1,"")</f>
        <v>0</v>
      </c>
    </row>
    <row r="371" spans="54:56">
      <c r="BB371" s="4">
        <f>IF(球探欧赔数据录入表!C374&gt;0,球探欧赔数据录入表!C374*AY$1,"")</f>
        <v>0</v>
      </c>
      <c r="BC371" s="4">
        <f>IF(球探欧赔数据录入表!D374&gt;0,球探欧赔数据录入表!D374*AZ$1,"")</f>
        <v>0</v>
      </c>
      <c r="BD371" s="4">
        <f>IF(球探欧赔数据录入表!E374&gt;0,球探欧赔数据录入表!E374*BA$1,"")</f>
        <v>0</v>
      </c>
    </row>
    <row r="372" spans="54:56">
      <c r="BB372" s="4">
        <f>IF(球探欧赔数据录入表!C375&gt;0,球探欧赔数据录入表!C375*AY$1,"")</f>
        <v>0</v>
      </c>
      <c r="BC372" s="4">
        <f>IF(球探欧赔数据录入表!D375&gt;0,球探欧赔数据录入表!D375*AZ$1,"")</f>
        <v>0</v>
      </c>
      <c r="BD372" s="4">
        <f>IF(球探欧赔数据录入表!E375&gt;0,球探欧赔数据录入表!E375*BA$1,"")</f>
        <v>0</v>
      </c>
    </row>
    <row r="373" spans="54:56">
      <c r="BB373" s="4">
        <f>IF(球探欧赔数据录入表!C376&gt;0,球探欧赔数据录入表!C376*AY$1,"")</f>
        <v>0</v>
      </c>
      <c r="BC373" s="4">
        <f>IF(球探欧赔数据录入表!D376&gt;0,球探欧赔数据录入表!D376*AZ$1,"")</f>
        <v>0</v>
      </c>
      <c r="BD373" s="4">
        <f>IF(球探欧赔数据录入表!E376&gt;0,球探欧赔数据录入表!E376*BA$1,"")</f>
        <v>0</v>
      </c>
    </row>
    <row r="374" spans="54:56">
      <c r="BB374" s="4">
        <f>IF(球探欧赔数据录入表!C377&gt;0,球探欧赔数据录入表!C377*AY$1,"")</f>
        <v>0</v>
      </c>
      <c r="BC374" s="4">
        <f>IF(球探欧赔数据录入表!D377&gt;0,球探欧赔数据录入表!D377*AZ$1,"")</f>
        <v>0</v>
      </c>
      <c r="BD374" s="4">
        <f>IF(球探欧赔数据录入表!E377&gt;0,球探欧赔数据录入表!E377*BA$1,"")</f>
        <v>0</v>
      </c>
    </row>
    <row r="375" spans="54:56">
      <c r="BB375" s="4">
        <f>IF(球探欧赔数据录入表!C378&gt;0,球探欧赔数据录入表!C378*AY$1,"")</f>
        <v>0</v>
      </c>
      <c r="BC375" s="4">
        <f>IF(球探欧赔数据录入表!D378&gt;0,球探欧赔数据录入表!D378*AZ$1,"")</f>
        <v>0</v>
      </c>
      <c r="BD375" s="4">
        <f>IF(球探欧赔数据录入表!E378&gt;0,球探欧赔数据录入表!E378*BA$1,"")</f>
        <v>0</v>
      </c>
    </row>
    <row r="376" spans="54:56">
      <c r="BB376" s="4">
        <f>IF(球探欧赔数据录入表!C379&gt;0,球探欧赔数据录入表!C379*AY$1,"")</f>
        <v>0</v>
      </c>
      <c r="BC376" s="4">
        <f>IF(球探欧赔数据录入表!D379&gt;0,球探欧赔数据录入表!D379*AZ$1,"")</f>
        <v>0</v>
      </c>
      <c r="BD376" s="4">
        <f>IF(球探欧赔数据录入表!E379&gt;0,球探欧赔数据录入表!E379*BA$1,"")</f>
        <v>0</v>
      </c>
    </row>
    <row r="377" spans="54:56">
      <c r="BB377" s="4">
        <f>IF(球探欧赔数据录入表!C380&gt;0,球探欧赔数据录入表!C380*AY$1,"")</f>
        <v>0</v>
      </c>
      <c r="BC377" s="4">
        <f>IF(球探欧赔数据录入表!D380&gt;0,球探欧赔数据录入表!D380*AZ$1,"")</f>
        <v>0</v>
      </c>
      <c r="BD377" s="4">
        <f>IF(球探欧赔数据录入表!E380&gt;0,球探欧赔数据录入表!E380*BA$1,"")</f>
        <v>0</v>
      </c>
    </row>
    <row r="378" spans="54:56">
      <c r="BB378" s="4">
        <f>IF(球探欧赔数据录入表!C381&gt;0,球探欧赔数据录入表!C381*AY$1,"")</f>
        <v>0</v>
      </c>
      <c r="BC378" s="4">
        <f>IF(球探欧赔数据录入表!D381&gt;0,球探欧赔数据录入表!D381*AZ$1,"")</f>
        <v>0</v>
      </c>
      <c r="BD378" s="4">
        <f>IF(球探欧赔数据录入表!E381&gt;0,球探欧赔数据录入表!E381*BA$1,"")</f>
        <v>0</v>
      </c>
    </row>
    <row r="379" spans="54:56">
      <c r="BB379" s="4">
        <f>IF(球探欧赔数据录入表!C382&gt;0,球探欧赔数据录入表!C382*AY$1,"")</f>
        <v>0</v>
      </c>
      <c r="BC379" s="4">
        <f>IF(球探欧赔数据录入表!D382&gt;0,球探欧赔数据录入表!D382*AZ$1,"")</f>
        <v>0</v>
      </c>
      <c r="BD379" s="4">
        <f>IF(球探欧赔数据录入表!E382&gt;0,球探欧赔数据录入表!E382*BA$1,"")</f>
        <v>0</v>
      </c>
    </row>
    <row r="380" spans="54:56">
      <c r="BB380" s="4">
        <f>IF(球探欧赔数据录入表!C383&gt;0,球探欧赔数据录入表!C383*AY$1,"")</f>
        <v>0</v>
      </c>
      <c r="BC380" s="4">
        <f>IF(球探欧赔数据录入表!D383&gt;0,球探欧赔数据录入表!D383*AZ$1,"")</f>
        <v>0</v>
      </c>
      <c r="BD380" s="4">
        <f>IF(球探欧赔数据录入表!E383&gt;0,球探欧赔数据录入表!E383*BA$1,"")</f>
        <v>0</v>
      </c>
    </row>
    <row r="381" spans="54:56">
      <c r="BB381" s="4">
        <f>IF(球探欧赔数据录入表!C384&gt;0,球探欧赔数据录入表!C384*AY$1,"")</f>
        <v>0</v>
      </c>
      <c r="BC381" s="4">
        <f>IF(球探欧赔数据录入表!D384&gt;0,球探欧赔数据录入表!D384*AZ$1,"")</f>
        <v>0</v>
      </c>
      <c r="BD381" s="4">
        <f>IF(球探欧赔数据录入表!E384&gt;0,球探欧赔数据录入表!E384*BA$1,"")</f>
        <v>0</v>
      </c>
    </row>
    <row r="382" spans="54:56">
      <c r="BB382" s="4">
        <f>IF(球探欧赔数据录入表!C385&gt;0,球探欧赔数据录入表!C385*AY$1,"")</f>
        <v>0</v>
      </c>
      <c r="BC382" s="4">
        <f>IF(球探欧赔数据录入表!D385&gt;0,球探欧赔数据录入表!D385*AZ$1,"")</f>
        <v>0</v>
      </c>
      <c r="BD382" s="4">
        <f>IF(球探欧赔数据录入表!E385&gt;0,球探欧赔数据录入表!E385*BA$1,"")</f>
        <v>0</v>
      </c>
    </row>
    <row r="383" spans="54:56">
      <c r="BB383" s="4">
        <f>IF(球探欧赔数据录入表!C386&gt;0,球探欧赔数据录入表!C386*AY$1,"")</f>
        <v>0</v>
      </c>
      <c r="BC383" s="4">
        <f>IF(球探欧赔数据录入表!D386&gt;0,球探欧赔数据录入表!D386*AZ$1,"")</f>
        <v>0</v>
      </c>
      <c r="BD383" s="4">
        <f>IF(球探欧赔数据录入表!E386&gt;0,球探欧赔数据录入表!E386*BA$1,"")</f>
        <v>0</v>
      </c>
    </row>
    <row r="384" spans="54:56">
      <c r="BB384" s="4">
        <f>IF(球探欧赔数据录入表!C387&gt;0,球探欧赔数据录入表!C387*AY$1,"")</f>
        <v>0</v>
      </c>
      <c r="BC384" s="4">
        <f>IF(球探欧赔数据录入表!D387&gt;0,球探欧赔数据录入表!D387*AZ$1,"")</f>
        <v>0</v>
      </c>
      <c r="BD384" s="4">
        <f>IF(球探欧赔数据录入表!E387&gt;0,球探欧赔数据录入表!E387*BA$1,"")</f>
        <v>0</v>
      </c>
    </row>
    <row r="385" spans="54:56">
      <c r="BB385" s="4">
        <f>IF(球探欧赔数据录入表!C388&gt;0,球探欧赔数据录入表!C388*AY$1,"")</f>
        <v>0</v>
      </c>
      <c r="BC385" s="4">
        <f>IF(球探欧赔数据录入表!D388&gt;0,球探欧赔数据录入表!D388*AZ$1,"")</f>
        <v>0</v>
      </c>
      <c r="BD385" s="4">
        <f>IF(球探欧赔数据录入表!E388&gt;0,球探欧赔数据录入表!E388*BA$1,"")</f>
        <v>0</v>
      </c>
    </row>
    <row r="386" spans="54:56">
      <c r="BB386" s="4">
        <f>IF(球探欧赔数据录入表!C389&gt;0,球探欧赔数据录入表!C389*AY$1,"")</f>
        <v>0</v>
      </c>
      <c r="BC386" s="4">
        <f>IF(球探欧赔数据录入表!D389&gt;0,球探欧赔数据录入表!D389*AZ$1,"")</f>
        <v>0</v>
      </c>
      <c r="BD386" s="4">
        <f>IF(球探欧赔数据录入表!E389&gt;0,球探欧赔数据录入表!E389*BA$1,"")</f>
        <v>0</v>
      </c>
    </row>
  </sheetData>
  <mergeCells count="1">
    <mergeCell ref="AH1:AL1"/>
  </mergeCells>
  <conditionalFormatting sqref="A10">
    <cfRule type="containsErrors" dxfId="3" priority="6">
      <formula>ISERROR(A10)</formula>
    </cfRule>
  </conditionalFormatting>
  <conditionalFormatting sqref="A11">
    <cfRule type="containsErrors" dxfId="3" priority="5">
      <formula>ISERROR(A11)</formula>
    </cfRule>
  </conditionalFormatting>
  <conditionalFormatting sqref="A13">
    <cfRule type="containsErrors" dxfId="3" priority="4">
      <formula>ISERROR(A13)</formula>
    </cfRule>
  </conditionalFormatting>
  <conditionalFormatting sqref="B23:K23">
    <cfRule type="containsErrors" dxfId="3" priority="1">
      <formula>ISERROR(B23)</formula>
    </cfRule>
  </conditionalFormatting>
  <conditionalFormatting sqref="A29:A40">
    <cfRule type="containsErrors" dxfId="3" priority="7">
      <formula>ISERROR(A29)</formula>
    </cfRule>
  </conditionalFormatting>
  <conditionalFormatting sqref="A1:A9 A12 AG1:AH1 L23:W23 A14:A23 B21:W22 X21:AF23 B1:AF20 AG2:AG23">
    <cfRule type="containsErrors" dxfId="3" priority="19">
      <formula>ISERROR(A1)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M132"/>
  <sheetViews>
    <sheetView showGridLines="0" topLeftCell="M52" workbookViewId="0">
      <selection activeCell="W76" sqref="W76"/>
    </sheetView>
  </sheetViews>
  <sheetFormatPr defaultColWidth="9" defaultRowHeight="14.25"/>
  <cols>
    <col min="1" max="1" width="22.625" customWidth="1"/>
    <col min="2" max="2" width="13.125" customWidth="1"/>
    <col min="3" max="3" width="15.625" customWidth="1"/>
    <col min="4" max="4" width="10" customWidth="1"/>
    <col min="5" max="5" width="9.75" customWidth="1"/>
    <col min="6" max="7" width="9.5" customWidth="1"/>
    <col min="11" max="11" width="10.5" customWidth="1"/>
    <col min="12" max="12" width="11.375" customWidth="1"/>
    <col min="13" max="13" width="9.5" customWidth="1"/>
    <col min="17" max="17" width="7.5" customWidth="1"/>
    <col min="21" max="21" width="6.625" customWidth="1"/>
    <col min="22" max="22" width="9.875" customWidth="1"/>
    <col min="23" max="23" width="9.625" customWidth="1"/>
    <col min="24" max="24" width="10.25" customWidth="1"/>
    <col min="25" max="25" width="19.375" customWidth="1"/>
    <col min="26" max="27" width="10.5" customWidth="1"/>
    <col min="28" max="28" width="20.5" customWidth="1"/>
    <col min="29" max="30" width="8" customWidth="1"/>
    <col min="32" max="32" width="9.5" customWidth="1"/>
    <col min="33" max="33" width="19.375" customWidth="1"/>
  </cols>
  <sheetData>
    <row r="1" ht="17.25" customHeight="1" spans="1:22">
      <c r="A1" s="1" t="s">
        <v>227</v>
      </c>
      <c r="B1" s="2">
        <f ca="1">STDEV(球探欧赔数据录入表!C6:球探欧赔数据录入表!C400)/球探欧赔数据录入表!C5</f>
        <v>0.0274611811330242</v>
      </c>
      <c r="C1" s="2">
        <f ca="1">STDEV(球探欧赔数据录入表!D6:球探欧赔数据录入表!D400)/球探欧赔数据录入表!D5</f>
        <v>0.0236987430614616</v>
      </c>
      <c r="D1" s="2">
        <f ca="1">STDEV(球探欧赔数据录入表!E6:球探欧赔数据录入表!E400)/球探欧赔数据录入表!E5</f>
        <v>0.0346267090098972</v>
      </c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7.25" customHeight="1" spans="1:22">
      <c r="A2" s="1" t="s">
        <v>228</v>
      </c>
      <c r="B2" s="2">
        <f ca="1">B1/(B1+C1+D1)</f>
        <v>0.320110256193399</v>
      </c>
      <c r="C2" s="2">
        <f ca="1">C1/(B1+C1+D1)</f>
        <v>0.276252163958927</v>
      </c>
      <c r="D2" s="2">
        <f ca="1">D1/(B1+C1+D1)</f>
        <v>0.403637579847673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7.25" customHeight="1" spans="1:28">
      <c r="A3" s="1"/>
      <c r="AB3">
        <f>-LARGE(B20:Z20,1)</f>
        <v>-0.26797734933761</v>
      </c>
    </row>
    <row r="4" spans="1:28">
      <c r="A4" s="3"/>
      <c r="B4" s="4">
        <f>SUM(B11:K11)</f>
        <v>0.00136009705948144</v>
      </c>
      <c r="C4" s="4">
        <f>SUM(L11:O11)</f>
        <v>0.136681876804909</v>
      </c>
      <c r="D4" s="4">
        <f>SUM(Q11:Z11)</f>
        <v>0.861958026098361</v>
      </c>
      <c r="E4" s="4">
        <f>0.93/B4</f>
        <v>683.774730278865</v>
      </c>
      <c r="F4" s="4">
        <f>0.93/C4</f>
        <v>6.80412079303991</v>
      </c>
      <c r="G4" s="4">
        <f>0.93/D4</f>
        <v>1.07893884834466</v>
      </c>
      <c r="H4" s="4"/>
      <c r="I4" s="4"/>
      <c r="J4" s="4"/>
      <c r="K4" s="4"/>
      <c r="L4" s="34"/>
      <c r="M4" s="4"/>
      <c r="N4" s="4"/>
      <c r="O4" s="4"/>
      <c r="P4" s="4"/>
      <c r="Q4" s="4"/>
      <c r="R4" s="4"/>
      <c r="AB4">
        <f>--LARGE(B20:Z20,1)</f>
        <v>0.26797734933761</v>
      </c>
    </row>
    <row r="5" customHeight="1" spans="1:26">
      <c r="A5" s="5" t="s">
        <v>229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/>
      <c r="L5" s="6" t="s">
        <v>230</v>
      </c>
      <c r="M5" s="35" t="s">
        <v>231</v>
      </c>
      <c r="N5" s="35"/>
      <c r="O5" s="35"/>
      <c r="P5" s="36" t="s">
        <v>232</v>
      </c>
      <c r="Q5" s="36" t="s">
        <v>233</v>
      </c>
      <c r="R5" s="36"/>
      <c r="S5" s="36"/>
      <c r="T5" s="36"/>
      <c r="U5" s="68"/>
      <c r="V5" s="68"/>
      <c r="W5" s="69"/>
      <c r="X5" s="70"/>
      <c r="Y5" s="69"/>
      <c r="Z5" s="69"/>
    </row>
    <row r="6" ht="21" customHeight="1" spans="1:26">
      <c r="A6" s="7" t="s">
        <v>234</v>
      </c>
      <c r="B6" s="8">
        <f>POISSON(B5,$L$6,FALSE)</f>
        <v>0.990049833749168</v>
      </c>
      <c r="C6" s="8">
        <f t="shared" ref="B6:J6" si="0">POISSON(C5,$L$6,FALSE)</f>
        <v>0.00990049833749168</v>
      </c>
      <c r="D6" s="8">
        <f t="shared" si="0"/>
        <v>4.95024916874585e-5</v>
      </c>
      <c r="E6" s="8">
        <f t="shared" si="0"/>
        <v>1.65008305624862e-7</v>
      </c>
      <c r="F6" s="8">
        <f t="shared" si="0"/>
        <v>4.12520764062153e-10</v>
      </c>
      <c r="G6" s="8">
        <f t="shared" si="0"/>
        <v>8.25041528124308e-13</v>
      </c>
      <c r="H6" s="8">
        <f t="shared" si="0"/>
        <v>1.37506921354051e-15</v>
      </c>
      <c r="I6" s="8">
        <f t="shared" si="0"/>
        <v>1.96438459077216e-18</v>
      </c>
      <c r="J6" s="8">
        <f t="shared" si="0"/>
        <v>2.45548073846521e-21</v>
      </c>
      <c r="K6" s="37" t="s">
        <v>235</v>
      </c>
      <c r="L6" s="38">
        <f>IF(P6=0,0.01,P6)</f>
        <v>0.01</v>
      </c>
      <c r="M6" s="39">
        <f>1/SUM(B11:K11)</f>
        <v>735.241645461146</v>
      </c>
      <c r="N6" s="39">
        <f>1/SUM(L11:P11)</f>
        <v>7.31625891525337</v>
      </c>
      <c r="O6" s="39">
        <f>1/SUM(Q11:Z11)</f>
        <v>1.16014929929533</v>
      </c>
      <c r="P6" s="40">
        <f>球探数据分析录入表!W78</f>
        <v>0</v>
      </c>
      <c r="Q6" s="71">
        <f>HLOOKUP(--LARGE(B8:J8,1),B8:J9,2,FALSE)</f>
        <v>2</v>
      </c>
      <c r="R6" s="71">
        <f>HLOOKUP(--LARGE(B8:J8,2),B8:J9,2,FALSE)</f>
        <v>1</v>
      </c>
      <c r="S6" s="71">
        <f>HLOOKUP(--LARGE(B8:J8,3),B8:J9,2,FALSE)</f>
        <v>3</v>
      </c>
      <c r="T6" s="71"/>
      <c r="U6" s="72" t="e">
        <f>#REF!/10</f>
        <v>#REF!</v>
      </c>
      <c r="V6" s="48" t="e">
        <f>U6-P6</f>
        <v>#REF!</v>
      </c>
      <c r="W6" s="10"/>
      <c r="X6" s="73"/>
      <c r="Y6" s="9"/>
      <c r="Z6" s="9"/>
    </row>
    <row r="7" ht="21" customHeight="1" spans="1:26">
      <c r="A7" s="7" t="s">
        <v>236</v>
      </c>
      <c r="B7" s="8">
        <f t="shared" ref="B7:J7" si="1">POISSON(B5,$L$7,FALSE)</f>
        <v>0.135335283236613</v>
      </c>
      <c r="C7" s="8">
        <f t="shared" si="1"/>
        <v>0.270670566473225</v>
      </c>
      <c r="D7" s="8">
        <f t="shared" si="1"/>
        <v>0.270670566473225</v>
      </c>
      <c r="E7" s="8">
        <f t="shared" si="1"/>
        <v>0.180447044315484</v>
      </c>
      <c r="F7" s="8">
        <f t="shared" si="1"/>
        <v>0.0902235221577418</v>
      </c>
      <c r="G7" s="8">
        <f t="shared" si="1"/>
        <v>0.0360894088630967</v>
      </c>
      <c r="H7" s="8">
        <f t="shared" si="1"/>
        <v>0.0120298029543656</v>
      </c>
      <c r="I7" s="8">
        <f t="shared" si="1"/>
        <v>0.00343708655839016</v>
      </c>
      <c r="J7" s="8">
        <f t="shared" si="1"/>
        <v>0.000859271639597541</v>
      </c>
      <c r="K7" s="37" t="s">
        <v>237</v>
      </c>
      <c r="L7" s="38">
        <f>IF(P7=0,0.01,P7)</f>
        <v>2</v>
      </c>
      <c r="M7" s="41">
        <f>C6*B7</f>
        <v>0.00133988674668805</v>
      </c>
      <c r="N7" s="42">
        <f>C7*B6</f>
        <v>0.26797734933761</v>
      </c>
      <c r="O7" s="43"/>
      <c r="P7" s="40">
        <f>球探数据分析录入表!X78</f>
        <v>2</v>
      </c>
      <c r="Q7" s="43" t="s">
        <v>238</v>
      </c>
      <c r="R7" s="43"/>
      <c r="S7" s="43"/>
      <c r="T7" s="43"/>
      <c r="U7" s="72" t="e">
        <f>#REF!/10</f>
        <v>#REF!</v>
      </c>
      <c r="V7" s="48" t="e">
        <f>U7-P7</f>
        <v>#REF!</v>
      </c>
      <c r="W7" s="9"/>
      <c r="X7" s="9"/>
      <c r="Y7" s="9"/>
      <c r="Z7" s="9"/>
    </row>
    <row r="8" ht="21" customHeight="1" spans="1:26">
      <c r="A8" s="9" t="s">
        <v>239</v>
      </c>
      <c r="B8" s="8">
        <f t="shared" ref="B8:J8" si="2">POISSON(B5,$M$8,FALSE)</f>
        <v>0.133988674668805</v>
      </c>
      <c r="C8" s="8">
        <f t="shared" si="2"/>
        <v>0.269317236084298</v>
      </c>
      <c r="D8" s="8">
        <f t="shared" si="2"/>
        <v>0.270663822264719</v>
      </c>
      <c r="E8" s="8">
        <f t="shared" si="2"/>
        <v>0.181344760917362</v>
      </c>
      <c r="F8" s="8">
        <f t="shared" si="2"/>
        <v>0.0911257423609744</v>
      </c>
      <c r="G8" s="8">
        <f t="shared" si="2"/>
        <v>0.0366325484291117</v>
      </c>
      <c r="H8" s="8">
        <f t="shared" si="2"/>
        <v>0.0122719037237524</v>
      </c>
      <c r="I8" s="8">
        <f t="shared" si="2"/>
        <v>0.00352378949782034</v>
      </c>
      <c r="J8" s="8">
        <f t="shared" si="2"/>
        <v>0.00088535211132736</v>
      </c>
      <c r="K8" s="37" t="s">
        <v>240</v>
      </c>
      <c r="L8" s="44"/>
      <c r="M8" s="45">
        <f>L6+L7</f>
        <v>2.01</v>
      </c>
      <c r="N8" s="46">
        <f>L6-L7</f>
        <v>-1.99</v>
      </c>
      <c r="O8" s="43"/>
      <c r="P8" s="43" t="s">
        <v>77</v>
      </c>
      <c r="Q8" s="74" t="str">
        <f>HLOOKUP(--LARGE(B11:Z11,1),B11:Z12,2,FALSE)</f>
        <v>0:1</v>
      </c>
      <c r="R8" s="74" t="str">
        <f>HLOOKUP(--LARGE(B11:Z11,2),B11:Z12,2,FALSE)</f>
        <v>0:1</v>
      </c>
      <c r="S8" s="74" t="str">
        <f>HLOOKUP(--LARGE(B11:Z11,3),B11:Z12,2,FALSE)</f>
        <v>0:3</v>
      </c>
      <c r="T8" s="74" t="str">
        <f>HLOOKUP(--LARGE(B11:Z11,4),B11:Z12,2,FALSE)</f>
        <v>0:0</v>
      </c>
      <c r="U8" s="9"/>
      <c r="V8" s="9"/>
      <c r="W8" s="9"/>
      <c r="X8" s="9"/>
      <c r="Y8" s="9"/>
      <c r="Z8" s="9"/>
    </row>
    <row r="9" spans="1:26">
      <c r="A9" s="10" t="s">
        <v>229</v>
      </c>
      <c r="B9" s="11">
        <v>0</v>
      </c>
      <c r="C9" s="11">
        <v>1</v>
      </c>
      <c r="D9" s="11">
        <v>2</v>
      </c>
      <c r="E9" s="11">
        <v>3</v>
      </c>
      <c r="F9" s="11">
        <v>4</v>
      </c>
      <c r="G9" s="11">
        <v>5</v>
      </c>
      <c r="H9" s="11">
        <v>6</v>
      </c>
      <c r="I9" s="11">
        <v>7</v>
      </c>
      <c r="J9" s="11">
        <v>8</v>
      </c>
      <c r="K9" s="47"/>
      <c r="L9" s="44"/>
      <c r="M9" s="48"/>
      <c r="N9" s="46"/>
      <c r="O9" s="43"/>
      <c r="P9" s="43"/>
      <c r="Q9" s="75"/>
      <c r="R9" s="75"/>
      <c r="S9" s="75"/>
      <c r="T9" s="75"/>
      <c r="U9" s="9"/>
      <c r="V9" s="9"/>
      <c r="W9" s="9"/>
      <c r="X9" s="9"/>
      <c r="Y9" s="9"/>
      <c r="Z9" s="9"/>
    </row>
    <row r="10" spans="1:26">
      <c r="A10" s="10" t="s">
        <v>77</v>
      </c>
      <c r="B10" s="10" t="s">
        <v>241</v>
      </c>
      <c r="C10" s="10" t="s">
        <v>242</v>
      </c>
      <c r="D10" s="10" t="s">
        <v>243</v>
      </c>
      <c r="E10" s="10" t="s">
        <v>244</v>
      </c>
      <c r="F10" s="10" t="s">
        <v>245</v>
      </c>
      <c r="G10" s="10" t="s">
        <v>246</v>
      </c>
      <c r="H10" s="10" t="s">
        <v>247</v>
      </c>
      <c r="I10" s="10" t="s">
        <v>248</v>
      </c>
      <c r="J10" s="10" t="s">
        <v>249</v>
      </c>
      <c r="K10" s="10" t="s">
        <v>250</v>
      </c>
      <c r="L10" s="10" t="s">
        <v>251</v>
      </c>
      <c r="M10" s="10" t="s">
        <v>252</v>
      </c>
      <c r="N10" s="10" t="s">
        <v>253</v>
      </c>
      <c r="O10" s="10" t="s">
        <v>254</v>
      </c>
      <c r="P10" s="10" t="s">
        <v>255</v>
      </c>
      <c r="Q10" s="10" t="s">
        <v>256</v>
      </c>
      <c r="R10" s="10" t="s">
        <v>257</v>
      </c>
      <c r="S10" s="10" t="s">
        <v>258</v>
      </c>
      <c r="T10" s="10" t="s">
        <v>259</v>
      </c>
      <c r="U10" s="10" t="s">
        <v>260</v>
      </c>
      <c r="V10" s="10" t="s">
        <v>261</v>
      </c>
      <c r="W10" s="10" t="s">
        <v>262</v>
      </c>
      <c r="X10" s="10" t="s">
        <v>263</v>
      </c>
      <c r="Y10" s="10" t="s">
        <v>264</v>
      </c>
      <c r="Z10" s="10" t="s">
        <v>265</v>
      </c>
    </row>
    <row r="11" spans="1:26">
      <c r="A11" s="12" t="s">
        <v>266</v>
      </c>
      <c r="B11" s="13">
        <f>C6*B7</f>
        <v>0.00133988674668805</v>
      </c>
      <c r="C11" s="12">
        <f>D6*B7</f>
        <v>6.69943373344026e-6</v>
      </c>
      <c r="D11" s="12">
        <f>D6*C7</f>
        <v>1.33988674668805e-5</v>
      </c>
      <c r="E11" s="12">
        <f>E6*B7</f>
        <v>2.23314457781342e-8</v>
      </c>
      <c r="F11" s="12">
        <f>E6*C7</f>
        <v>4.46628915562684e-8</v>
      </c>
      <c r="G11" s="12">
        <f>E6*D7</f>
        <v>4.46628915562684e-8</v>
      </c>
      <c r="H11" s="12">
        <f>F6*B7</f>
        <v>5.58286144453354e-11</v>
      </c>
      <c r="I11" s="13">
        <f>F6*C7</f>
        <v>1.11657228890671e-10</v>
      </c>
      <c r="J11" s="13">
        <f>F6*D7</f>
        <v>1.11657228890671e-10</v>
      </c>
      <c r="K11" s="13">
        <f>F6*E7+G6*SUM(B7:F7)+H6*SUM(B7:G7)+I6*SUM(B7:H7)+J6*SUM(B7:I7)</f>
        <v>7.5221107447052e-11</v>
      </c>
      <c r="L11" s="49">
        <f>B6*B7</f>
        <v>0.133988674668805</v>
      </c>
      <c r="M11" s="50">
        <f>C6*C7</f>
        <v>0.0026797734933761</v>
      </c>
      <c r="N11" s="51">
        <f>D6*D7</f>
        <v>1.33988674668805e-5</v>
      </c>
      <c r="O11" s="51">
        <f>E6*E7</f>
        <v>2.97752610375123e-8</v>
      </c>
      <c r="P11" s="51">
        <f>F6*F7+G6*G7+H6*H7+I6*I7+J6*J7</f>
        <v>3.72488681064933e-11</v>
      </c>
      <c r="Q11" s="76">
        <f>C7*B6</f>
        <v>0.26797734933761</v>
      </c>
      <c r="R11" s="51">
        <f>D7*B6</f>
        <v>0.26797734933761</v>
      </c>
      <c r="S11" s="51">
        <f>D7*C6</f>
        <v>0.0026797734933761</v>
      </c>
      <c r="T11" s="12">
        <f>E7*B6</f>
        <v>0.178651566225073</v>
      </c>
      <c r="U11" s="12">
        <f>E7*C6</f>
        <v>0.00178651566225073</v>
      </c>
      <c r="V11" s="12">
        <f>E7*D6</f>
        <v>8.93257831125368e-6</v>
      </c>
      <c r="W11" s="12">
        <f>F7*B6</f>
        <v>0.0893257831125367</v>
      </c>
      <c r="X11" s="13">
        <f>F7*C6</f>
        <v>0.000893257831125366</v>
      </c>
      <c r="Y11" s="13">
        <f>F7*D6</f>
        <v>4.46628915562684e-6</v>
      </c>
      <c r="Z11" s="13">
        <f>1-SUM(B11:Y11)</f>
        <v>0.0526530322313117</v>
      </c>
    </row>
    <row r="12" spans="1:26">
      <c r="A12" s="14" t="s">
        <v>266</v>
      </c>
      <c r="B12" s="15" t="s">
        <v>241</v>
      </c>
      <c r="C12" s="15" t="s">
        <v>242</v>
      </c>
      <c r="D12" s="15" t="s">
        <v>243</v>
      </c>
      <c r="E12" s="16" t="s">
        <v>244</v>
      </c>
      <c r="F12" s="17" t="s">
        <v>245</v>
      </c>
      <c r="G12" s="17" t="s">
        <v>246</v>
      </c>
      <c r="H12" s="17" t="s">
        <v>247</v>
      </c>
      <c r="I12" s="17" t="s">
        <v>248</v>
      </c>
      <c r="J12" s="15" t="s">
        <v>249</v>
      </c>
      <c r="K12" s="15" t="s">
        <v>250</v>
      </c>
      <c r="L12" s="52" t="s">
        <v>251</v>
      </c>
      <c r="M12" s="52" t="s">
        <v>252</v>
      </c>
      <c r="N12" s="52" t="s">
        <v>253</v>
      </c>
      <c r="O12" s="53" t="s">
        <v>254</v>
      </c>
      <c r="P12" s="54" t="s">
        <v>255</v>
      </c>
      <c r="Q12" s="15" t="s">
        <v>256</v>
      </c>
      <c r="R12" s="15" t="s">
        <v>257</v>
      </c>
      <c r="S12" s="15" t="s">
        <v>258</v>
      </c>
      <c r="T12" s="16" t="s">
        <v>259</v>
      </c>
      <c r="U12" s="17" t="s">
        <v>260</v>
      </c>
      <c r="V12" s="17" t="s">
        <v>261</v>
      </c>
      <c r="W12" s="17" t="s">
        <v>262</v>
      </c>
      <c r="X12" s="17" t="s">
        <v>263</v>
      </c>
      <c r="Y12" s="15" t="s">
        <v>264</v>
      </c>
      <c r="Z12" s="15" t="s">
        <v>265</v>
      </c>
    </row>
    <row r="13" spans="1:26">
      <c r="A13" s="18"/>
      <c r="B13" s="4">
        <f>SUM(B20:K20)</f>
        <v>0.00136009705948144</v>
      </c>
      <c r="C13" s="4">
        <f>SUM(L20:O20)</f>
        <v>0.136681876804909</v>
      </c>
      <c r="D13" s="4">
        <f>SUM(Q20:Z20)</f>
        <v>0.861958026098361</v>
      </c>
      <c r="E13" s="4">
        <f>0.93/B13</f>
        <v>683.774730278865</v>
      </c>
      <c r="F13" s="4">
        <f>0.93/C13</f>
        <v>6.80412079303991</v>
      </c>
      <c r="G13" s="4">
        <f>0.93/D13</f>
        <v>1.07893884834466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5" t="s">
        <v>229</v>
      </c>
      <c r="B14" s="6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/>
      <c r="L14" s="6" t="s">
        <v>230</v>
      </c>
      <c r="M14" s="35" t="s">
        <v>231</v>
      </c>
      <c r="N14" s="35"/>
      <c r="O14" s="35"/>
      <c r="P14" s="36" t="s">
        <v>232</v>
      </c>
      <c r="Q14" s="36" t="s">
        <v>233</v>
      </c>
      <c r="R14" s="36"/>
      <c r="S14" s="36"/>
      <c r="T14" s="36"/>
      <c r="U14" s="68"/>
      <c r="V14" s="68"/>
      <c r="W14" s="69"/>
      <c r="X14" s="70"/>
      <c r="Y14" s="69"/>
      <c r="Z14" s="69"/>
    </row>
    <row r="15" ht="21" customHeight="1" spans="1:26">
      <c r="A15" s="7" t="s">
        <v>234</v>
      </c>
      <c r="B15" s="8">
        <f t="shared" ref="B15:J15" si="3">POISSON(B14,$L$15,FALSE)</f>
        <v>0.990049833749168</v>
      </c>
      <c r="C15" s="8">
        <f t="shared" si="3"/>
        <v>0.00990049833749168</v>
      </c>
      <c r="D15" s="8">
        <f t="shared" si="3"/>
        <v>4.95024916874585e-5</v>
      </c>
      <c r="E15" s="8">
        <f t="shared" si="3"/>
        <v>1.65008305624862e-7</v>
      </c>
      <c r="F15" s="8">
        <f t="shared" si="3"/>
        <v>4.12520764062153e-10</v>
      </c>
      <c r="G15" s="8">
        <f t="shared" si="3"/>
        <v>8.25041528124308e-13</v>
      </c>
      <c r="H15" s="8">
        <f t="shared" si="3"/>
        <v>1.37506921354051e-15</v>
      </c>
      <c r="I15" s="8">
        <f t="shared" si="3"/>
        <v>1.96438459077216e-18</v>
      </c>
      <c r="J15" s="8">
        <f t="shared" si="3"/>
        <v>2.45548073846521e-21</v>
      </c>
      <c r="K15" s="37" t="s">
        <v>235</v>
      </c>
      <c r="L15" s="38">
        <f>IF(P15=0,0.01,P15)</f>
        <v>0.01</v>
      </c>
      <c r="M15" s="39">
        <f>1/SUM(B20:K20)</f>
        <v>735.241645461146</v>
      </c>
      <c r="N15" s="39">
        <f>1/SUM(L20:P20)</f>
        <v>7.31625891525337</v>
      </c>
      <c r="O15" s="39">
        <f>1/SUM(Q20:Z20)</f>
        <v>1.16014929929533</v>
      </c>
      <c r="P15" s="40">
        <f>球探数据分析录入表!W72</f>
        <v>0</v>
      </c>
      <c r="Q15" s="71">
        <f>HLOOKUP(--LARGE(B17:J17,1),B17:J18,2,FALSE)</f>
        <v>2</v>
      </c>
      <c r="R15" s="71">
        <f>HLOOKUP(--LARGE(B17:J17,2),B17:J18,2,FALSE)</f>
        <v>1</v>
      </c>
      <c r="S15" s="71">
        <f>HLOOKUP(--LARGE(B17:J17,3),B17:J18,2,FALSE)</f>
        <v>3</v>
      </c>
      <c r="T15" s="71"/>
      <c r="U15" s="72">
        <f>B10/10</f>
        <v>0.00416666666666666</v>
      </c>
      <c r="V15" s="48">
        <f>U15-P15</f>
        <v>0.00416666666666666</v>
      </c>
      <c r="W15" s="10"/>
      <c r="X15" s="73"/>
      <c r="Y15" s="9"/>
      <c r="Z15" s="9"/>
    </row>
    <row r="16" ht="21" customHeight="1" spans="1:26">
      <c r="A16" s="7" t="s">
        <v>236</v>
      </c>
      <c r="B16" s="8">
        <f t="shared" ref="B16:J16" si="4">POISSON(B14,$L$16,FALSE)</f>
        <v>0.135335283236613</v>
      </c>
      <c r="C16" s="8">
        <f t="shared" si="4"/>
        <v>0.270670566473225</v>
      </c>
      <c r="D16" s="8">
        <f t="shared" si="4"/>
        <v>0.270670566473225</v>
      </c>
      <c r="E16" s="8">
        <f t="shared" si="4"/>
        <v>0.180447044315484</v>
      </c>
      <c r="F16" s="8">
        <f t="shared" si="4"/>
        <v>0.0902235221577418</v>
      </c>
      <c r="G16" s="8">
        <f t="shared" si="4"/>
        <v>0.0360894088630967</v>
      </c>
      <c r="H16" s="8">
        <f t="shared" si="4"/>
        <v>0.0120298029543656</v>
      </c>
      <c r="I16" s="8">
        <f t="shared" si="4"/>
        <v>0.00343708655839016</v>
      </c>
      <c r="J16" s="8">
        <f t="shared" si="4"/>
        <v>0.000859271639597541</v>
      </c>
      <c r="K16" s="37" t="s">
        <v>237</v>
      </c>
      <c r="L16" s="38">
        <f>IF(P16=0,0.01,P16)</f>
        <v>2</v>
      </c>
      <c r="M16" s="41">
        <f>C15*B16</f>
        <v>0.00133988674668805</v>
      </c>
      <c r="N16" s="42">
        <f>C16*B15</f>
        <v>0.26797734933761</v>
      </c>
      <c r="O16" s="43"/>
      <c r="P16" s="40">
        <f>球探数据分析录入表!X72</f>
        <v>2</v>
      </c>
      <c r="Q16" s="43" t="s">
        <v>238</v>
      </c>
      <c r="R16" s="43"/>
      <c r="S16" s="43"/>
      <c r="T16" s="43"/>
      <c r="U16" s="72">
        <f>B11/10</f>
        <v>0.000133988674668805</v>
      </c>
      <c r="V16" s="48">
        <f>U16-P16</f>
        <v>-1.99986601132533</v>
      </c>
      <c r="W16" s="9"/>
      <c r="X16" s="9"/>
      <c r="Y16" s="9"/>
      <c r="Z16" s="9"/>
    </row>
    <row r="17" ht="21" customHeight="1" spans="1:26">
      <c r="A17" s="9" t="s">
        <v>239</v>
      </c>
      <c r="B17" s="8">
        <f t="shared" ref="B17:J17" si="5">POISSON(B14,$M$17,FALSE)</f>
        <v>0.133988674668805</v>
      </c>
      <c r="C17" s="8">
        <f t="shared" si="5"/>
        <v>0.269317236084298</v>
      </c>
      <c r="D17" s="8">
        <f t="shared" si="5"/>
        <v>0.270663822264719</v>
      </c>
      <c r="E17" s="8">
        <f t="shared" si="5"/>
        <v>0.181344760917362</v>
      </c>
      <c r="F17" s="8">
        <f t="shared" si="5"/>
        <v>0.0911257423609744</v>
      </c>
      <c r="G17" s="8">
        <f t="shared" si="5"/>
        <v>0.0366325484291117</v>
      </c>
      <c r="H17" s="8">
        <f t="shared" si="5"/>
        <v>0.0122719037237524</v>
      </c>
      <c r="I17" s="8">
        <f t="shared" si="5"/>
        <v>0.00352378949782034</v>
      </c>
      <c r="J17" s="8">
        <f t="shared" si="5"/>
        <v>0.00088535211132736</v>
      </c>
      <c r="K17" s="37" t="s">
        <v>240</v>
      </c>
      <c r="L17" s="44"/>
      <c r="M17" s="45">
        <f>L15+L16</f>
        <v>2.01</v>
      </c>
      <c r="N17" s="46">
        <f>L15-L16</f>
        <v>-1.99</v>
      </c>
      <c r="O17" s="43"/>
      <c r="P17" s="43" t="s">
        <v>77</v>
      </c>
      <c r="Q17" s="74" t="str">
        <f>HLOOKUP(--LARGE(B20:Z20,1),B20:Z21,2,FALSE)</f>
        <v>0:1</v>
      </c>
      <c r="R17" s="74" t="str">
        <f>HLOOKUP(--LARGE(B20:Z20,2),B20:Z21,2,FALSE)</f>
        <v>0:1</v>
      </c>
      <c r="S17" s="74" t="str">
        <f>HLOOKUP(--LARGE(B20:Z20,3),B20:Z21,2,FALSE)</f>
        <v>0:3</v>
      </c>
      <c r="T17" s="74" t="str">
        <f>HLOOKUP(--LARGE(B20:Z20,4),B20:Z21,2,FALSE)</f>
        <v>0:0</v>
      </c>
      <c r="U17" s="9"/>
      <c r="V17" s="9"/>
      <c r="W17" s="9"/>
      <c r="X17" s="9"/>
      <c r="Y17" s="9"/>
      <c r="Z17" s="9"/>
    </row>
    <row r="18" spans="1:26">
      <c r="A18" s="10" t="s">
        <v>229</v>
      </c>
      <c r="B18" s="11">
        <v>0</v>
      </c>
      <c r="C18" s="11">
        <v>1</v>
      </c>
      <c r="D18" s="11">
        <v>2</v>
      </c>
      <c r="E18" s="11">
        <v>3</v>
      </c>
      <c r="F18" s="11">
        <v>4</v>
      </c>
      <c r="G18" s="11">
        <v>5</v>
      </c>
      <c r="H18" s="11">
        <v>6</v>
      </c>
      <c r="I18" s="11">
        <v>7</v>
      </c>
      <c r="J18" s="11">
        <v>8</v>
      </c>
      <c r="K18" s="47"/>
      <c r="L18" s="44"/>
      <c r="M18" s="48"/>
      <c r="N18" s="46"/>
      <c r="O18" s="43"/>
      <c r="P18" s="43"/>
      <c r="Q18" s="75"/>
      <c r="R18" s="75"/>
      <c r="S18" s="75"/>
      <c r="T18" s="75"/>
      <c r="U18" s="9"/>
      <c r="V18" s="9"/>
      <c r="W18" s="9"/>
      <c r="X18" s="9"/>
      <c r="Y18" s="9"/>
      <c r="Z18" s="9"/>
    </row>
    <row r="19" spans="1:26">
      <c r="A19" s="10" t="s">
        <v>77</v>
      </c>
      <c r="B19" s="10" t="s">
        <v>241</v>
      </c>
      <c r="C19" s="10" t="s">
        <v>242</v>
      </c>
      <c r="D19" s="10" t="s">
        <v>243</v>
      </c>
      <c r="E19" s="10" t="s">
        <v>244</v>
      </c>
      <c r="F19" s="10" t="s">
        <v>245</v>
      </c>
      <c r="G19" s="10" t="s">
        <v>246</v>
      </c>
      <c r="H19" s="10" t="s">
        <v>247</v>
      </c>
      <c r="I19" s="10" t="s">
        <v>248</v>
      </c>
      <c r="J19" s="10" t="s">
        <v>249</v>
      </c>
      <c r="K19" s="10" t="s">
        <v>250</v>
      </c>
      <c r="L19" s="10" t="s">
        <v>251</v>
      </c>
      <c r="M19" s="10" t="s">
        <v>252</v>
      </c>
      <c r="N19" s="10" t="s">
        <v>253</v>
      </c>
      <c r="O19" s="10" t="s">
        <v>254</v>
      </c>
      <c r="P19" s="10" t="s">
        <v>255</v>
      </c>
      <c r="Q19" s="10" t="s">
        <v>256</v>
      </c>
      <c r="R19" s="10" t="s">
        <v>257</v>
      </c>
      <c r="S19" s="10" t="s">
        <v>258</v>
      </c>
      <c r="T19" s="10" t="s">
        <v>259</v>
      </c>
      <c r="U19" s="10" t="s">
        <v>260</v>
      </c>
      <c r="V19" s="10" t="s">
        <v>261</v>
      </c>
      <c r="W19" s="10" t="s">
        <v>262</v>
      </c>
      <c r="X19" s="10" t="s">
        <v>263</v>
      </c>
      <c r="Y19" s="10" t="s">
        <v>264</v>
      </c>
      <c r="Z19" s="10" t="s">
        <v>265</v>
      </c>
    </row>
    <row r="20" spans="1:26">
      <c r="A20" s="12" t="s">
        <v>266</v>
      </c>
      <c r="B20" s="13">
        <f>C15*B16</f>
        <v>0.00133988674668805</v>
      </c>
      <c r="C20" s="12">
        <f>D15*B16</f>
        <v>6.69943373344026e-6</v>
      </c>
      <c r="D20" s="12">
        <f>D15*C16</f>
        <v>1.33988674668805e-5</v>
      </c>
      <c r="E20" s="12">
        <f>E15*B16</f>
        <v>2.23314457781342e-8</v>
      </c>
      <c r="F20" s="12">
        <f>E15*C16</f>
        <v>4.46628915562684e-8</v>
      </c>
      <c r="G20" s="12">
        <f>E15*D16</f>
        <v>4.46628915562684e-8</v>
      </c>
      <c r="H20" s="12">
        <f>F15*B16</f>
        <v>5.58286144453354e-11</v>
      </c>
      <c r="I20" s="13">
        <f>F15*C16</f>
        <v>1.11657228890671e-10</v>
      </c>
      <c r="J20" s="13">
        <f>F15*D16</f>
        <v>1.11657228890671e-10</v>
      </c>
      <c r="K20" s="13">
        <f>F15*E16+G15*SUM(B16:F16)+H15*SUM(B16:G16)+I15*SUM(B16:H16)+J15*SUM(B16:I16)</f>
        <v>7.5221107447052e-11</v>
      </c>
      <c r="L20" s="49">
        <f>B15*B16</f>
        <v>0.133988674668805</v>
      </c>
      <c r="M20" s="50">
        <f>C15*C16</f>
        <v>0.0026797734933761</v>
      </c>
      <c r="N20" s="51">
        <f>D15*D16</f>
        <v>1.33988674668805e-5</v>
      </c>
      <c r="O20" s="51">
        <f>E15*E16</f>
        <v>2.97752610375123e-8</v>
      </c>
      <c r="P20" s="51">
        <f>F15*F16+G15*G16+H15*H16+I15*I16+J15*J16</f>
        <v>3.72488681064933e-11</v>
      </c>
      <c r="Q20" s="76">
        <f>C16*B15</f>
        <v>0.26797734933761</v>
      </c>
      <c r="R20" s="51">
        <f>D16*B15</f>
        <v>0.26797734933761</v>
      </c>
      <c r="S20" s="51">
        <f>D16*C15</f>
        <v>0.0026797734933761</v>
      </c>
      <c r="T20" s="12">
        <f>E16*B15</f>
        <v>0.178651566225073</v>
      </c>
      <c r="U20" s="12">
        <f>E16*C15</f>
        <v>0.00178651566225073</v>
      </c>
      <c r="V20" s="12">
        <f>E16*D15</f>
        <v>8.93257831125368e-6</v>
      </c>
      <c r="W20" s="12">
        <f>F16*B15</f>
        <v>0.0893257831125367</v>
      </c>
      <c r="X20" s="13">
        <f>F16*C15</f>
        <v>0.000893257831125366</v>
      </c>
      <c r="Y20" s="13">
        <f>F16*D15</f>
        <v>4.46628915562684e-6</v>
      </c>
      <c r="Z20" s="13">
        <f>1-SUM(B20:Y20)</f>
        <v>0.0526530322313117</v>
      </c>
    </row>
    <row r="21" spans="1:26">
      <c r="A21" s="14" t="s">
        <v>266</v>
      </c>
      <c r="B21" s="15" t="s">
        <v>241</v>
      </c>
      <c r="C21" s="15" t="s">
        <v>242</v>
      </c>
      <c r="D21" s="15" t="s">
        <v>243</v>
      </c>
      <c r="E21" s="16" t="s">
        <v>244</v>
      </c>
      <c r="F21" s="17" t="s">
        <v>245</v>
      </c>
      <c r="G21" s="17" t="s">
        <v>246</v>
      </c>
      <c r="H21" s="17" t="s">
        <v>247</v>
      </c>
      <c r="I21" s="17" t="s">
        <v>248</v>
      </c>
      <c r="J21" s="15" t="s">
        <v>249</v>
      </c>
      <c r="K21" s="15" t="s">
        <v>250</v>
      </c>
      <c r="L21" s="52" t="s">
        <v>251</v>
      </c>
      <c r="M21" s="52" t="s">
        <v>252</v>
      </c>
      <c r="N21" s="52" t="s">
        <v>253</v>
      </c>
      <c r="O21" s="53" t="s">
        <v>254</v>
      </c>
      <c r="P21" s="54" t="s">
        <v>255</v>
      </c>
      <c r="Q21" s="15" t="s">
        <v>256</v>
      </c>
      <c r="R21" s="15" t="s">
        <v>257</v>
      </c>
      <c r="S21" s="15" t="s">
        <v>258</v>
      </c>
      <c r="T21" s="16" t="s">
        <v>259</v>
      </c>
      <c r="U21" s="17" t="s">
        <v>260</v>
      </c>
      <c r="V21" s="17" t="s">
        <v>261</v>
      </c>
      <c r="W21" s="17" t="s">
        <v>262</v>
      </c>
      <c r="X21" s="17" t="s">
        <v>263</v>
      </c>
      <c r="Y21" s="15" t="s">
        <v>264</v>
      </c>
      <c r="Z21" s="15" t="s">
        <v>265</v>
      </c>
    </row>
    <row r="22" spans="1:20">
      <c r="A22" s="19"/>
      <c r="B22" s="4">
        <f>SUM(B29:K29)</f>
        <v>0.248295896550881</v>
      </c>
      <c r="C22" s="4">
        <f>SUM(L29:O29)</f>
        <v>0.300157715929254</v>
      </c>
      <c r="D22" s="4">
        <f>SUM(Q29:Z29)</f>
        <v>0.451337322646849</v>
      </c>
      <c r="E22" s="4">
        <f>0.93/B22</f>
        <v>3.74553108979561</v>
      </c>
      <c r="F22" s="4">
        <f>0.93/C22</f>
        <v>3.09837112506279</v>
      </c>
      <c r="G22" s="4">
        <f>0.93/D22</f>
        <v>2.06054308681155</v>
      </c>
      <c r="I22" s="55"/>
      <c r="J22" s="55"/>
      <c r="K22" s="55"/>
      <c r="L22" s="4"/>
      <c r="M22" s="4"/>
      <c r="N22" s="4"/>
      <c r="O22" s="4"/>
      <c r="P22" s="4"/>
      <c r="Q22" s="4"/>
      <c r="R22" s="4"/>
      <c r="S22" s="4"/>
      <c r="T22" s="4"/>
    </row>
    <row r="23" customHeight="1" spans="1:26">
      <c r="A23" s="5" t="s">
        <v>229</v>
      </c>
      <c r="B23" s="20">
        <v>0</v>
      </c>
      <c r="C23" s="20">
        <v>1</v>
      </c>
      <c r="D23" s="20">
        <v>2</v>
      </c>
      <c r="E23" s="20">
        <v>3</v>
      </c>
      <c r="F23" s="20">
        <v>4</v>
      </c>
      <c r="G23" s="20">
        <v>5</v>
      </c>
      <c r="H23" s="20">
        <v>6</v>
      </c>
      <c r="I23" s="20">
        <v>7</v>
      </c>
      <c r="J23" s="20">
        <v>8</v>
      </c>
      <c r="K23" s="20"/>
      <c r="L23" s="20" t="s">
        <v>230</v>
      </c>
      <c r="M23" s="56" t="s">
        <v>231</v>
      </c>
      <c r="N23" s="56"/>
      <c r="O23" s="56"/>
      <c r="P23" s="57" t="s">
        <v>232</v>
      </c>
      <c r="Q23" s="57" t="s">
        <v>233</v>
      </c>
      <c r="R23" s="57"/>
      <c r="S23" s="57"/>
      <c r="T23" s="57"/>
      <c r="U23" s="77"/>
      <c r="V23" s="77"/>
      <c r="W23" s="77"/>
      <c r="X23" s="77"/>
      <c r="Y23" s="77"/>
      <c r="Z23" s="77"/>
    </row>
    <row r="24" ht="21" customHeight="1" spans="1:26">
      <c r="A24" s="7" t="s">
        <v>234</v>
      </c>
      <c r="B24" s="8">
        <f t="shared" ref="B24:J24" si="6">POISSON(B23,$L24,FALSE)</f>
        <v>0.447212763251886</v>
      </c>
      <c r="C24" s="8">
        <f t="shared" si="6"/>
        <v>0.359881420298298</v>
      </c>
      <c r="D24" s="8">
        <f t="shared" si="6"/>
        <v>0.144802035315541</v>
      </c>
      <c r="E24" s="8">
        <f t="shared" si="6"/>
        <v>0.0388417373962485</v>
      </c>
      <c r="F24" s="8">
        <f t="shared" si="6"/>
        <v>0.00781418866456988</v>
      </c>
      <c r="G24" s="8">
        <f t="shared" si="6"/>
        <v>0.00125764805755347</v>
      </c>
      <c r="H24" s="8">
        <f t="shared" si="6"/>
        <v>0.000168675928766973</v>
      </c>
      <c r="I24" s="8">
        <f t="shared" si="6"/>
        <v>1.93910044623285e-5</v>
      </c>
      <c r="J24" s="8">
        <f t="shared" si="6"/>
        <v>1.95054311961321e-6</v>
      </c>
      <c r="K24" s="37" t="s">
        <v>235</v>
      </c>
      <c r="L24" s="38">
        <f>IF(P24=0,0.01,P24)</f>
        <v>0.804720817182046</v>
      </c>
      <c r="M24" s="39">
        <f>1/SUM(B29:K29)</f>
        <v>4.02745278472647</v>
      </c>
      <c r="N24" s="39">
        <f>1/SUM(L29:P29)</f>
        <v>3.32926296752601</v>
      </c>
      <c r="O24" s="39">
        <f>1/SUM(Q29:Z29)</f>
        <v>2.21563772775436</v>
      </c>
      <c r="P24" s="40">
        <f>球探数据分析录入表!U78</f>
        <v>0.804720817182046</v>
      </c>
      <c r="Q24" s="71">
        <f>HLOOKUP(--LARGE(B26:J26,1),B26:J27,2,FALSE)</f>
        <v>1</v>
      </c>
      <c r="R24" s="71">
        <f>HLOOKUP(--LARGE(B26:J26,2),B26:J27,2,FALSE)</f>
        <v>1</v>
      </c>
      <c r="S24" s="71">
        <f>HLOOKUP(--LARGE(B26:J26,3),B26:J27,2,FALSE)</f>
        <v>3</v>
      </c>
      <c r="T24" s="71"/>
      <c r="U24" s="9"/>
      <c r="V24" s="10"/>
      <c r="W24" s="10"/>
      <c r="X24" s="10"/>
      <c r="Y24" s="9"/>
      <c r="Z24" s="9"/>
    </row>
    <row r="25" ht="21" customHeight="1" spans="1:26">
      <c r="A25" s="7" t="s">
        <v>236</v>
      </c>
      <c r="B25" s="8">
        <f t="shared" ref="B25:J25" si="7">POISSON(B23,$L25,FALSE)</f>
        <v>0.302619456234945</v>
      </c>
      <c r="C25" s="8">
        <f t="shared" si="7"/>
        <v>0.361714736353318</v>
      </c>
      <c r="D25" s="8">
        <f t="shared" si="7"/>
        <v>0.216175047240803</v>
      </c>
      <c r="E25" s="8">
        <f t="shared" si="7"/>
        <v>0.0861298446038733</v>
      </c>
      <c r="F25" s="8">
        <f t="shared" si="7"/>
        <v>0.0257373025685888</v>
      </c>
      <c r="G25" s="8">
        <f t="shared" si="7"/>
        <v>0.00615265239642424</v>
      </c>
      <c r="H25" s="8">
        <f t="shared" si="7"/>
        <v>0.00122568955476015</v>
      </c>
      <c r="I25" s="8">
        <f t="shared" si="7"/>
        <v>0.000209291601343173</v>
      </c>
      <c r="J25" s="8">
        <f t="shared" si="7"/>
        <v>3.12702367780162e-5</v>
      </c>
      <c r="K25" s="37" t="s">
        <v>237</v>
      </c>
      <c r="L25" s="38">
        <f>IF(P25=0,0.01,P25)</f>
        <v>1.19527918281795</v>
      </c>
      <c r="M25" s="44"/>
      <c r="N25" s="48"/>
      <c r="O25" s="43"/>
      <c r="P25" s="40">
        <f>球探数据分析录入表!V78</f>
        <v>1.19527918281795</v>
      </c>
      <c r="Q25" s="43" t="s">
        <v>238</v>
      </c>
      <c r="R25" s="43"/>
      <c r="S25" s="43"/>
      <c r="T25" s="43"/>
      <c r="U25" s="9"/>
      <c r="V25" s="9"/>
      <c r="W25" s="9"/>
      <c r="X25" s="9"/>
      <c r="Y25" s="9"/>
      <c r="Z25" s="9"/>
    </row>
    <row r="26" ht="21" customHeight="1" spans="1:26">
      <c r="A26" s="9" t="s">
        <v>239</v>
      </c>
      <c r="B26" s="8">
        <f t="shared" ref="B26:J26" si="8">POISSON(B23,$M26,FALSE)</f>
        <v>0.135335283236613</v>
      </c>
      <c r="C26" s="8">
        <f t="shared" si="8"/>
        <v>0.270670566473225</v>
      </c>
      <c r="D26" s="8">
        <f t="shared" si="8"/>
        <v>0.270670566473225</v>
      </c>
      <c r="E26" s="8">
        <f t="shared" si="8"/>
        <v>0.180447044315484</v>
      </c>
      <c r="F26" s="8">
        <f t="shared" si="8"/>
        <v>0.0902235221577418</v>
      </c>
      <c r="G26" s="8">
        <f t="shared" si="8"/>
        <v>0.0360894088630967</v>
      </c>
      <c r="H26" s="8">
        <f t="shared" si="8"/>
        <v>0.0120298029543656</v>
      </c>
      <c r="I26" s="8">
        <f t="shared" si="8"/>
        <v>0.00343708655839016</v>
      </c>
      <c r="J26" s="8">
        <f t="shared" si="8"/>
        <v>0.000859271639597541</v>
      </c>
      <c r="K26" s="37" t="s">
        <v>240</v>
      </c>
      <c r="L26" s="44"/>
      <c r="M26" s="45">
        <f>L24+L25</f>
        <v>2</v>
      </c>
      <c r="N26" s="46">
        <f>L24-L25</f>
        <v>-0.390558365635909</v>
      </c>
      <c r="O26" s="43"/>
      <c r="P26" s="43" t="s">
        <v>77</v>
      </c>
      <c r="Q26" s="74" t="str">
        <f>HLOOKUP(--LARGE($B29:$Z29,1),$B29:$Z30,2,FALSE)</f>
        <v>0:1</v>
      </c>
      <c r="R26" s="74" t="str">
        <f>HLOOKUP(--LARGE($B29:$Z29,2),$B29:$Z30,2,FALSE)</f>
        <v>0:0</v>
      </c>
      <c r="S26" s="74" t="str">
        <f>HLOOKUP(--LARGE($B29:$Z29,3),$B29:$Z30,2,FALSE)</f>
        <v>1:1</v>
      </c>
      <c r="T26" s="74" t="str">
        <f>HLOOKUP(--LARGE($B29:$Z29,4),$B29:$Z30,2,FALSE)</f>
        <v>１:０</v>
      </c>
      <c r="U26" s="9"/>
      <c r="V26" s="9"/>
      <c r="W26" s="9"/>
      <c r="X26" s="9"/>
      <c r="Y26" s="9"/>
      <c r="Z26" s="9"/>
    </row>
    <row r="27" spans="1:26">
      <c r="A27" s="10" t="s">
        <v>229</v>
      </c>
      <c r="B27" s="11">
        <v>0</v>
      </c>
      <c r="C27" s="11">
        <v>1</v>
      </c>
      <c r="D27" s="11">
        <v>2</v>
      </c>
      <c r="E27" s="11">
        <v>3</v>
      </c>
      <c r="F27" s="11">
        <v>4</v>
      </c>
      <c r="G27" s="11">
        <v>5</v>
      </c>
      <c r="H27" s="11">
        <v>6</v>
      </c>
      <c r="I27" s="11">
        <v>7</v>
      </c>
      <c r="J27" s="11">
        <v>8</v>
      </c>
      <c r="K27" s="47"/>
      <c r="L27" s="44"/>
      <c r="M27" s="48"/>
      <c r="N27" s="46"/>
      <c r="O27" s="43"/>
      <c r="P27" s="43"/>
      <c r="Q27" s="75"/>
      <c r="R27" s="75"/>
      <c r="S27" s="75"/>
      <c r="T27" s="75"/>
      <c r="U27" s="9"/>
      <c r="V27" s="9"/>
      <c r="W27" s="9"/>
      <c r="X27" s="9"/>
      <c r="Y27" s="9"/>
      <c r="Z27" s="9"/>
    </row>
    <row r="28" spans="1:26">
      <c r="A28" s="11" t="s">
        <v>77</v>
      </c>
      <c r="B28" s="11" t="s">
        <v>241</v>
      </c>
      <c r="C28" s="11" t="s">
        <v>242</v>
      </c>
      <c r="D28" s="11" t="s">
        <v>243</v>
      </c>
      <c r="E28" s="11" t="s">
        <v>244</v>
      </c>
      <c r="F28" s="11" t="s">
        <v>245</v>
      </c>
      <c r="G28" s="11" t="s">
        <v>246</v>
      </c>
      <c r="H28" s="11" t="s">
        <v>247</v>
      </c>
      <c r="I28" s="11" t="s">
        <v>248</v>
      </c>
      <c r="J28" s="11" t="s">
        <v>249</v>
      </c>
      <c r="K28" s="11" t="s">
        <v>250</v>
      </c>
      <c r="L28" s="11" t="s">
        <v>251</v>
      </c>
      <c r="M28" s="11" t="s">
        <v>252</v>
      </c>
      <c r="N28" s="11" t="s">
        <v>253</v>
      </c>
      <c r="O28" s="11" t="s">
        <v>254</v>
      </c>
      <c r="P28" s="11" t="s">
        <v>255</v>
      </c>
      <c r="Q28" s="11" t="s">
        <v>256</v>
      </c>
      <c r="R28" s="11" t="s">
        <v>257</v>
      </c>
      <c r="S28" s="11" t="s">
        <v>258</v>
      </c>
      <c r="T28" s="11" t="s">
        <v>259</v>
      </c>
      <c r="U28" s="11" t="s">
        <v>260</v>
      </c>
      <c r="V28" s="11" t="s">
        <v>261</v>
      </c>
      <c r="W28" s="11" t="s">
        <v>262</v>
      </c>
      <c r="X28" s="11" t="s">
        <v>263</v>
      </c>
      <c r="Y28" s="11" t="s">
        <v>264</v>
      </c>
      <c r="Z28" s="11" t="s">
        <v>265</v>
      </c>
    </row>
    <row r="29" spans="1:26">
      <c r="A29" s="12" t="s">
        <v>266</v>
      </c>
      <c r="B29" s="13">
        <f>C24*B25</f>
        <v>0.108907119719731</v>
      </c>
      <c r="C29" s="12">
        <f>D24*B25</f>
        <v>0.0438199131889022</v>
      </c>
      <c r="D29" s="12">
        <f>D24*C25</f>
        <v>0.0523770300275848</v>
      </c>
      <c r="E29" s="12">
        <f>E24*B25</f>
        <v>0.0117542654500732</v>
      </c>
      <c r="F29" s="12">
        <f>E24*C25</f>
        <v>0.0140496288017889</v>
      </c>
      <c r="G29" s="12">
        <f>E24*D25</f>
        <v>0.00839661441654889</v>
      </c>
      <c r="H29" s="12">
        <f>F24*B25</f>
        <v>0.00236472552458941</v>
      </c>
      <c r="I29" s="13">
        <f>F24*C25</f>
        <v>0.00282650719261998</v>
      </c>
      <c r="J29" s="13">
        <f>F24*D25</f>
        <v>0.00168923260371194</v>
      </c>
      <c r="K29" s="13">
        <f>F24*E25+G24*SUM(B25:F25)+H24*SUM(B25:G25)+I24*SUM(B25:H25)+J24*SUM(B25:I25)</f>
        <v>0.00211085962533091</v>
      </c>
      <c r="L29" s="12">
        <f>B24*B25</f>
        <v>0.135335283236613</v>
      </c>
      <c r="M29" s="12">
        <f>C24*C25</f>
        <v>0.130174413061657</v>
      </c>
      <c r="N29" s="12">
        <f>D24*D25</f>
        <v>0.0313025868249015</v>
      </c>
      <c r="O29" s="12">
        <f>E24*E25</f>
        <v>0.00334543280608334</v>
      </c>
      <c r="P29" s="12">
        <f>F24*F25+G24*G25+H24*H25+I24*I25+J24*J25</f>
        <v>0.000209064873015586</v>
      </c>
      <c r="Q29" s="13">
        <f>C25*B24</f>
        <v>0.161763446753495</v>
      </c>
      <c r="R29" s="12">
        <f>D25*B24</f>
        <v>0.0966762402226665</v>
      </c>
      <c r="S29" s="12">
        <f>D25*C24</f>
        <v>0.0777973830340719</v>
      </c>
      <c r="T29" s="12">
        <f>E25*B24</f>
        <v>0.0385183658037537</v>
      </c>
      <c r="U29" s="12">
        <f>E25*C24</f>
        <v>0.0309965308061136</v>
      </c>
      <c r="V29" s="12">
        <f>E25*D24</f>
        <v>0.0124717768000521</v>
      </c>
      <c r="W29" s="12">
        <f>F25*B24</f>
        <v>0.0115100502003484</v>
      </c>
      <c r="X29" s="13">
        <f>F25*C24</f>
        <v>0.00926237700303076</v>
      </c>
      <c r="Y29" s="13">
        <f>F25*D24</f>
        <v>0.00372681379546355</v>
      </c>
      <c r="Z29" s="13">
        <f>1-SUM(B29:Y29)</f>
        <v>0.00861433822785374</v>
      </c>
    </row>
    <row r="30" spans="1:26">
      <c r="A30" s="21" t="s">
        <v>266</v>
      </c>
      <c r="B30" s="22" t="s">
        <v>241</v>
      </c>
      <c r="C30" s="22" t="s">
        <v>242</v>
      </c>
      <c r="D30" s="22" t="s">
        <v>243</v>
      </c>
      <c r="E30" s="23" t="s">
        <v>267</v>
      </c>
      <c r="F30" s="24" t="s">
        <v>245</v>
      </c>
      <c r="G30" s="24" t="s">
        <v>246</v>
      </c>
      <c r="H30" s="24" t="s">
        <v>247</v>
      </c>
      <c r="I30" s="24" t="s">
        <v>248</v>
      </c>
      <c r="J30" s="22" t="s">
        <v>249</v>
      </c>
      <c r="K30" s="22" t="s">
        <v>250</v>
      </c>
      <c r="L30" s="58" t="s">
        <v>251</v>
      </c>
      <c r="M30" s="58" t="s">
        <v>252</v>
      </c>
      <c r="N30" s="58" t="s">
        <v>253</v>
      </c>
      <c r="O30" s="59" t="s">
        <v>254</v>
      </c>
      <c r="P30" s="60" t="s">
        <v>255</v>
      </c>
      <c r="Q30" s="22" t="s">
        <v>256</v>
      </c>
      <c r="R30" s="22" t="s">
        <v>257</v>
      </c>
      <c r="S30" s="22" t="s">
        <v>258</v>
      </c>
      <c r="T30" s="23" t="s">
        <v>259</v>
      </c>
      <c r="U30" s="24" t="s">
        <v>260</v>
      </c>
      <c r="V30" s="24" t="s">
        <v>261</v>
      </c>
      <c r="W30" s="24" t="s">
        <v>262</v>
      </c>
      <c r="X30" s="24" t="s">
        <v>263</v>
      </c>
      <c r="Y30" s="22" t="s">
        <v>264</v>
      </c>
      <c r="Z30" s="22" t="s">
        <v>265</v>
      </c>
    </row>
    <row r="32" spans="1:18">
      <c r="A32" s="3"/>
      <c r="B32" s="4">
        <f>SUM(B39:K39)</f>
        <v>0.00136009705948144</v>
      </c>
      <c r="C32" s="4">
        <f>SUM(L39:O39)</f>
        <v>0.136681876804909</v>
      </c>
      <c r="D32" s="4">
        <f>SUM(Q39:Z39)</f>
        <v>0.861958026098361</v>
      </c>
      <c r="E32" s="4">
        <f>0.93/B32</f>
        <v>683.774730278865</v>
      </c>
      <c r="F32" s="4">
        <f>0.93/C32</f>
        <v>6.80412079303991</v>
      </c>
      <c r="G32" s="4">
        <f>0.93/D32</f>
        <v>1.07893884834466</v>
      </c>
      <c r="I32" s="4">
        <f>IF(MAX(B32:D32)=B32,B32,B32+0.5*C32)</f>
        <v>0.0697010354619359</v>
      </c>
      <c r="K32" s="4">
        <f>IF(MAX(B32:D32)=D32,D32,D32+0.5*C32)</f>
        <v>0.861958026098361</v>
      </c>
      <c r="L32" s="34"/>
      <c r="M32" s="4"/>
      <c r="N32" s="4"/>
      <c r="O32" s="4"/>
      <c r="P32" s="4"/>
      <c r="Q32" s="4"/>
      <c r="R32" s="4"/>
    </row>
    <row r="33" customHeight="1" spans="1:26">
      <c r="A33" s="25" t="s">
        <v>229</v>
      </c>
      <c r="B33" s="6">
        <v>0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/>
      <c r="L33" s="6" t="s">
        <v>230</v>
      </c>
      <c r="M33" s="35" t="s">
        <v>231</v>
      </c>
      <c r="N33" s="35"/>
      <c r="O33" s="35"/>
      <c r="P33" s="36" t="s">
        <v>232</v>
      </c>
      <c r="Q33" s="36" t="s">
        <v>233</v>
      </c>
      <c r="R33" s="36"/>
      <c r="S33" s="36"/>
      <c r="T33" s="36"/>
      <c r="U33" s="68"/>
      <c r="V33" s="68"/>
      <c r="W33" s="69"/>
      <c r="X33" s="70" t="e">
        <f>#REF!</f>
        <v>#REF!</v>
      </c>
      <c r="Y33" s="69"/>
      <c r="Z33" s="69"/>
    </row>
    <row r="34" ht="21" customHeight="1" spans="1:26">
      <c r="A34" s="7" t="s">
        <v>234</v>
      </c>
      <c r="B34" s="8">
        <f t="shared" ref="B34:J34" si="9">POISSON(B33,$L$34,FALSE)</f>
        <v>0.990049833749168</v>
      </c>
      <c r="C34" s="8">
        <f t="shared" si="9"/>
        <v>0.00990049833749168</v>
      </c>
      <c r="D34" s="8">
        <f t="shared" si="9"/>
        <v>4.95024916874585e-5</v>
      </c>
      <c r="E34" s="8">
        <f t="shared" si="9"/>
        <v>1.65008305624862e-7</v>
      </c>
      <c r="F34" s="8">
        <f t="shared" si="9"/>
        <v>4.12520764062153e-10</v>
      </c>
      <c r="G34" s="8">
        <f t="shared" si="9"/>
        <v>8.25041528124308e-13</v>
      </c>
      <c r="H34" s="8">
        <f t="shared" si="9"/>
        <v>1.37506921354051e-15</v>
      </c>
      <c r="I34" s="8">
        <f t="shared" si="9"/>
        <v>1.96438459077216e-18</v>
      </c>
      <c r="J34" s="8">
        <f t="shared" si="9"/>
        <v>2.45548073846521e-21</v>
      </c>
      <c r="K34" s="37" t="s">
        <v>235</v>
      </c>
      <c r="L34" s="38">
        <f>IF(P34=0,0.01,P34)</f>
        <v>0.01</v>
      </c>
      <c r="M34" s="39">
        <f>1/SUM(B39:K39)</f>
        <v>735.241645461146</v>
      </c>
      <c r="N34" s="39">
        <f>1/SUM(L39:P39)</f>
        <v>7.31625891525337</v>
      </c>
      <c r="O34" s="39">
        <f>1/SUM(Q39:Z39)</f>
        <v>1.16014929929533</v>
      </c>
      <c r="P34" s="40">
        <f>球探数据分析录入表!Q84</f>
        <v>0</v>
      </c>
      <c r="Q34" s="71">
        <f>HLOOKUP(--LARGE(B36:J36,1),B36:J37,2,FALSE)</f>
        <v>2</v>
      </c>
      <c r="R34" s="71">
        <f>HLOOKUP(--LARGE(B36:J36,2),B36:J37,2,FALSE)</f>
        <v>1</v>
      </c>
      <c r="S34" s="71">
        <f>HLOOKUP(--LARGE(B36:J36,3),B36:J37,2,FALSE)</f>
        <v>3</v>
      </c>
      <c r="T34" s="71"/>
      <c r="U34" s="72" t="e">
        <f>#REF!/10</f>
        <v>#REF!</v>
      </c>
      <c r="V34" s="48" t="e">
        <f>U34-P34</f>
        <v>#REF!</v>
      </c>
      <c r="W34" s="10"/>
      <c r="X34" s="73" t="e">
        <f>#REF!</f>
        <v>#REF!</v>
      </c>
      <c r="Y34" s="9"/>
      <c r="Z34" s="9"/>
    </row>
    <row r="35" ht="21" customHeight="1" spans="1:26">
      <c r="A35" s="7" t="s">
        <v>236</v>
      </c>
      <c r="B35" s="8">
        <f t="shared" ref="B35:J35" si="10">POISSON(B33,$L$35,FALSE)</f>
        <v>0.135335283236613</v>
      </c>
      <c r="C35" s="8">
        <f t="shared" si="10"/>
        <v>0.270670566473225</v>
      </c>
      <c r="D35" s="8">
        <f t="shared" si="10"/>
        <v>0.270670566473225</v>
      </c>
      <c r="E35" s="8">
        <f t="shared" si="10"/>
        <v>0.180447044315484</v>
      </c>
      <c r="F35" s="8">
        <f t="shared" si="10"/>
        <v>0.0902235221577418</v>
      </c>
      <c r="G35" s="8">
        <f t="shared" si="10"/>
        <v>0.0360894088630967</v>
      </c>
      <c r="H35" s="8">
        <f t="shared" si="10"/>
        <v>0.0120298029543656</v>
      </c>
      <c r="I35" s="8">
        <f t="shared" si="10"/>
        <v>0.00343708655839016</v>
      </c>
      <c r="J35" s="8">
        <f t="shared" si="10"/>
        <v>0.000859271639597541</v>
      </c>
      <c r="K35" s="37" t="s">
        <v>237</v>
      </c>
      <c r="L35" s="38">
        <f>IF(P35=0,0.01,P35)</f>
        <v>2</v>
      </c>
      <c r="M35" s="41">
        <f>C34*B35</f>
        <v>0.00133988674668805</v>
      </c>
      <c r="N35" s="42">
        <f>C35*B34</f>
        <v>0.26797734933761</v>
      </c>
      <c r="O35" s="43"/>
      <c r="P35" s="40">
        <f>球探数据分析录入表!R84</f>
        <v>2</v>
      </c>
      <c r="Q35" s="43" t="s">
        <v>238</v>
      </c>
      <c r="R35" s="43"/>
      <c r="S35" s="43"/>
      <c r="T35" s="43"/>
      <c r="U35" s="72" t="e">
        <f>#REF!/10</f>
        <v>#REF!</v>
      </c>
      <c r="V35" s="48" t="e">
        <f>U35-P35</f>
        <v>#REF!</v>
      </c>
      <c r="W35" s="9"/>
      <c r="X35" s="9"/>
      <c r="Y35" s="9"/>
      <c r="Z35" s="9"/>
    </row>
    <row r="36" ht="21" customHeight="1" spans="1:26">
      <c r="A36" s="9" t="s">
        <v>239</v>
      </c>
      <c r="B36" s="8">
        <f t="shared" ref="B36:J36" si="11">POISSON(B33,$M36,FALSE)</f>
        <v>0.133988674668805</v>
      </c>
      <c r="C36" s="8">
        <f t="shared" si="11"/>
        <v>0.269317236084298</v>
      </c>
      <c r="D36" s="8">
        <f t="shared" si="11"/>
        <v>0.270663822264719</v>
      </c>
      <c r="E36" s="8">
        <f t="shared" si="11"/>
        <v>0.181344760917362</v>
      </c>
      <c r="F36" s="8">
        <f t="shared" si="11"/>
        <v>0.0911257423609744</v>
      </c>
      <c r="G36" s="8">
        <f t="shared" si="11"/>
        <v>0.0366325484291117</v>
      </c>
      <c r="H36" s="8">
        <f t="shared" si="11"/>
        <v>0.0122719037237524</v>
      </c>
      <c r="I36" s="8">
        <f t="shared" si="11"/>
        <v>0.00352378949782034</v>
      </c>
      <c r="J36" s="8">
        <f t="shared" si="11"/>
        <v>0.00088535211132736</v>
      </c>
      <c r="K36" s="37" t="s">
        <v>240</v>
      </c>
      <c r="L36" s="44"/>
      <c r="M36" s="45">
        <f>L34+L35</f>
        <v>2.01</v>
      </c>
      <c r="N36" s="46">
        <f>L34-L35</f>
        <v>-1.99</v>
      </c>
      <c r="O36" s="43"/>
      <c r="P36" s="43" t="s">
        <v>77</v>
      </c>
      <c r="Q36" s="74" t="str">
        <f>HLOOKUP(--LARGE(B39:Z39,1),$B$39:$Z$40,2,FALSE)</f>
        <v>0:1</v>
      </c>
      <c r="R36" s="74" t="str">
        <f>HLOOKUP(--LARGE(B39:Z39,2),$B$39:$Z$40,2,FALSE)</f>
        <v>0:1</v>
      </c>
      <c r="S36" s="74" t="str">
        <f>HLOOKUP(--LARGE(B39:Z39,3),$B$39:$Z$40,2,FALSE)</f>
        <v>0:3</v>
      </c>
      <c r="T36" s="74" t="str">
        <f>HLOOKUP(--LARGE(B39:Z39,4),$B$39:$Z$40,2,FALSE)</f>
        <v>0:0</v>
      </c>
      <c r="U36" s="9"/>
      <c r="V36" s="9"/>
      <c r="W36" s="9"/>
      <c r="X36" s="9"/>
      <c r="Y36" s="9"/>
      <c r="Z36" s="9"/>
    </row>
    <row r="37" spans="1:26">
      <c r="A37" s="10" t="s">
        <v>229</v>
      </c>
      <c r="B37" s="11">
        <v>0</v>
      </c>
      <c r="C37" s="11">
        <v>1</v>
      </c>
      <c r="D37" s="11">
        <v>2</v>
      </c>
      <c r="E37" s="11">
        <v>3</v>
      </c>
      <c r="F37" s="11">
        <v>4</v>
      </c>
      <c r="G37" s="11">
        <v>5</v>
      </c>
      <c r="H37" s="11">
        <v>6</v>
      </c>
      <c r="I37" s="11">
        <v>7</v>
      </c>
      <c r="J37" s="11">
        <v>8</v>
      </c>
      <c r="K37" s="47"/>
      <c r="L37" s="44"/>
      <c r="M37" s="48"/>
      <c r="N37" s="46"/>
      <c r="O37" s="43"/>
      <c r="P37" s="43"/>
      <c r="Q37" s="75"/>
      <c r="R37" s="75"/>
      <c r="S37" s="75"/>
      <c r="T37" s="75"/>
      <c r="U37" s="9"/>
      <c r="V37" s="9"/>
      <c r="W37" s="9"/>
      <c r="X37" s="9"/>
      <c r="Y37" s="9"/>
      <c r="Z37" s="9"/>
    </row>
    <row r="38" spans="1:26">
      <c r="A38" s="11" t="s">
        <v>77</v>
      </c>
      <c r="B38" s="11" t="s">
        <v>241</v>
      </c>
      <c r="C38" s="11" t="s">
        <v>242</v>
      </c>
      <c r="D38" s="11" t="s">
        <v>243</v>
      </c>
      <c r="E38" s="11" t="s">
        <v>244</v>
      </c>
      <c r="F38" s="11" t="s">
        <v>245</v>
      </c>
      <c r="G38" s="11" t="s">
        <v>246</v>
      </c>
      <c r="H38" s="11" t="s">
        <v>247</v>
      </c>
      <c r="I38" s="11" t="s">
        <v>248</v>
      </c>
      <c r="J38" s="11" t="s">
        <v>249</v>
      </c>
      <c r="K38" s="11" t="s">
        <v>250</v>
      </c>
      <c r="L38" s="11" t="s">
        <v>251</v>
      </c>
      <c r="M38" s="11" t="s">
        <v>252</v>
      </c>
      <c r="N38" s="11" t="s">
        <v>253</v>
      </c>
      <c r="O38" s="11" t="s">
        <v>254</v>
      </c>
      <c r="P38" s="11" t="s">
        <v>255</v>
      </c>
      <c r="Q38" s="11" t="s">
        <v>256</v>
      </c>
      <c r="R38" s="11" t="s">
        <v>257</v>
      </c>
      <c r="S38" s="11" t="s">
        <v>258</v>
      </c>
      <c r="T38" s="11" t="s">
        <v>259</v>
      </c>
      <c r="U38" s="11" t="s">
        <v>260</v>
      </c>
      <c r="V38" s="11" t="s">
        <v>261</v>
      </c>
      <c r="W38" s="11" t="s">
        <v>262</v>
      </c>
      <c r="X38" s="11" t="s">
        <v>263</v>
      </c>
      <c r="Y38" s="11" t="s">
        <v>264</v>
      </c>
      <c r="Z38" s="11" t="s">
        <v>265</v>
      </c>
    </row>
    <row r="39" spans="1:26">
      <c r="A39" s="12" t="s">
        <v>266</v>
      </c>
      <c r="B39" s="13">
        <f>C34*B35</f>
        <v>0.00133988674668805</v>
      </c>
      <c r="C39" s="12">
        <f>D34*B35</f>
        <v>6.69943373344026e-6</v>
      </c>
      <c r="D39" s="12">
        <f>D34*C35</f>
        <v>1.33988674668805e-5</v>
      </c>
      <c r="E39" s="12">
        <f>E34*B35</f>
        <v>2.23314457781342e-8</v>
      </c>
      <c r="F39" s="12">
        <f>E34*C35</f>
        <v>4.46628915562684e-8</v>
      </c>
      <c r="G39" s="12">
        <f>E34*D35</f>
        <v>4.46628915562684e-8</v>
      </c>
      <c r="H39" s="12">
        <f>F34*B35</f>
        <v>5.58286144453354e-11</v>
      </c>
      <c r="I39" s="13">
        <f>F34*C35</f>
        <v>1.11657228890671e-10</v>
      </c>
      <c r="J39" s="13">
        <f>F34*D35</f>
        <v>1.11657228890671e-10</v>
      </c>
      <c r="K39" s="13">
        <f>F34*E35+G34*SUM(B35:F35)+H34*SUM(B35:G35)+I34*SUM(B35:H35)+J34*SUM(B35:I35)</f>
        <v>7.5221107447052e-11</v>
      </c>
      <c r="L39" s="49">
        <f>B34*B35</f>
        <v>0.133988674668805</v>
      </c>
      <c r="M39" s="50">
        <f>C34*C35</f>
        <v>0.0026797734933761</v>
      </c>
      <c r="N39" s="51">
        <f>D34*D35</f>
        <v>1.33988674668805e-5</v>
      </c>
      <c r="O39" s="51">
        <f>E34*E35</f>
        <v>2.97752610375123e-8</v>
      </c>
      <c r="P39" s="51">
        <f>F34*F35+G34*G35+H34*H35+I34*I35+J34*J35</f>
        <v>3.72488681064933e-11</v>
      </c>
      <c r="Q39" s="76">
        <f>C35*B34</f>
        <v>0.26797734933761</v>
      </c>
      <c r="R39" s="51">
        <f>D35*B34</f>
        <v>0.26797734933761</v>
      </c>
      <c r="S39" s="51">
        <f>D35*C34</f>
        <v>0.0026797734933761</v>
      </c>
      <c r="T39" s="12">
        <f>E35*B34</f>
        <v>0.178651566225073</v>
      </c>
      <c r="U39" s="12">
        <f>E35*C34</f>
        <v>0.00178651566225073</v>
      </c>
      <c r="V39" s="12">
        <f>E35*D34</f>
        <v>8.93257831125368e-6</v>
      </c>
      <c r="W39" s="12">
        <f>F35*B34</f>
        <v>0.0893257831125367</v>
      </c>
      <c r="X39" s="13">
        <f>F35*C34</f>
        <v>0.000893257831125366</v>
      </c>
      <c r="Y39" s="13">
        <f>F35*D34</f>
        <v>4.46628915562684e-6</v>
      </c>
      <c r="Z39" s="13">
        <f>1-SUM(B39:Y39)</f>
        <v>0.0526530322313117</v>
      </c>
    </row>
    <row r="40" spans="1:26">
      <c r="A40" s="14" t="s">
        <v>266</v>
      </c>
      <c r="B40" s="15" t="s">
        <v>241</v>
      </c>
      <c r="C40" s="15" t="s">
        <v>242</v>
      </c>
      <c r="D40" s="15" t="s">
        <v>243</v>
      </c>
      <c r="E40" s="16" t="s">
        <v>244</v>
      </c>
      <c r="F40" s="17" t="s">
        <v>245</v>
      </c>
      <c r="G40" s="17" t="s">
        <v>246</v>
      </c>
      <c r="H40" s="17" t="s">
        <v>247</v>
      </c>
      <c r="I40" s="17" t="s">
        <v>248</v>
      </c>
      <c r="J40" s="15" t="s">
        <v>249</v>
      </c>
      <c r="K40" s="15" t="s">
        <v>250</v>
      </c>
      <c r="L40" s="52" t="s">
        <v>251</v>
      </c>
      <c r="M40" s="52" t="s">
        <v>252</v>
      </c>
      <c r="N40" s="52" t="s">
        <v>253</v>
      </c>
      <c r="O40" s="53" t="s">
        <v>254</v>
      </c>
      <c r="P40" s="54" t="s">
        <v>255</v>
      </c>
      <c r="Q40" s="15" t="s">
        <v>256</v>
      </c>
      <c r="R40" s="15" t="s">
        <v>257</v>
      </c>
      <c r="S40" s="15" t="s">
        <v>258</v>
      </c>
      <c r="T40" s="16" t="s">
        <v>259</v>
      </c>
      <c r="U40" s="17" t="s">
        <v>260</v>
      </c>
      <c r="V40" s="17" t="s">
        <v>261</v>
      </c>
      <c r="W40" s="17" t="s">
        <v>262</v>
      </c>
      <c r="X40" s="17" t="s">
        <v>263</v>
      </c>
      <c r="Y40" s="15" t="s">
        <v>264</v>
      </c>
      <c r="Z40" s="15" t="s">
        <v>265</v>
      </c>
    </row>
    <row r="44" ht="17.25" customHeight="1" spans="1:39">
      <c r="A44" s="26" t="str">
        <f>球探数据分析录入表!A85</f>
        <v>FC东京</v>
      </c>
      <c r="B44" s="27">
        <f>球探数据分析录入表!K85</f>
        <v>2</v>
      </c>
      <c r="C44" s="27">
        <f>球探数据分析录入表!L85</f>
        <v>1</v>
      </c>
      <c r="D44" s="28">
        <f>球探数据分析录入表!M85</f>
        <v>2</v>
      </c>
      <c r="E44" s="28">
        <f>球探数据分析录入表!N85</f>
        <v>3.52999997138977</v>
      </c>
      <c r="F44" s="28">
        <f>球探数据分析录入表!O85</f>
        <v>3.35999989509583</v>
      </c>
      <c r="G44" s="29">
        <f t="shared" ref="G44:G63" si="12">1/(H44+I44+J44)</f>
        <v>0.925150531406461</v>
      </c>
      <c r="H44" s="28">
        <f t="shared" ref="H44:H63" si="13">1/D44</f>
        <v>0.5</v>
      </c>
      <c r="I44" s="28">
        <f t="shared" ref="I44:I63" si="14">1/E44</f>
        <v>0.28328612127617</v>
      </c>
      <c r="J44" s="28">
        <f t="shared" ref="J44:J63" si="15">1/F44</f>
        <v>0.297619056911154</v>
      </c>
      <c r="K44" s="61">
        <f t="shared" ref="K44:K63" si="16">IF(N44&gt;0,R44,IF(N44=0,0.5*R44,-R44))</f>
        <v>2</v>
      </c>
      <c r="L44" s="28">
        <f t="shared" ref="L44:L63" si="17">H44/(I44+J44)</f>
        <v>0.860725672234865</v>
      </c>
      <c r="M44" s="62">
        <f t="shared" ref="M44:M63" si="18">J44/(I44+H44)</f>
        <v>0.379962122176068</v>
      </c>
      <c r="N44" s="62">
        <f t="shared" ref="N44:N63" si="19">B44-C44</f>
        <v>1</v>
      </c>
      <c r="O44" s="62">
        <f t="shared" ref="O44:O63" si="20">1/(C44+1)</f>
        <v>0.5</v>
      </c>
      <c r="P44" s="63">
        <f t="shared" ref="P44:P63" si="21">IF(N44&gt;0,1,0)</f>
        <v>1</v>
      </c>
      <c r="Q44" s="63">
        <f>COUNTIF(B$44:B$53,"=0")</f>
        <v>5</v>
      </c>
      <c r="R44" s="29">
        <f t="shared" ref="R44:R63" si="22">IF(AND(B44&gt;0,C44&gt;0),B44/C44,IF(AND(B44=0,C44=0),1,IF(AND(B44&gt;0,C44=0),B44+1,0.01/C44)))</f>
        <v>2</v>
      </c>
      <c r="S44" s="78"/>
      <c r="T44" s="78"/>
      <c r="U44" s="78"/>
      <c r="V44" s="78"/>
      <c r="W44" s="78"/>
      <c r="X44" s="78"/>
      <c r="Y44" s="81"/>
      <c r="Z44" s="81">
        <f t="shared" ref="Z44:Z63" si="23">B44+1</f>
        <v>3</v>
      </c>
      <c r="AA44" s="81">
        <f t="shared" ref="AA44:AA63" si="24">C44+1</f>
        <v>2</v>
      </c>
      <c r="AB44" s="81">
        <f t="shared" ref="AB44:AB63" si="25">Z44/AA44</f>
        <v>1.5</v>
      </c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</row>
    <row r="45" ht="17.25" customHeight="1" spans="1:39">
      <c r="A45" s="26" t="str">
        <f>球探数据分析录入表!A86</f>
        <v>FC东京</v>
      </c>
      <c r="B45" s="27">
        <f>球探数据分析录入表!K86</f>
        <v>0</v>
      </c>
      <c r="C45" s="27">
        <f>球探数据分析录入表!L86</f>
        <v>2</v>
      </c>
      <c r="D45" s="28">
        <f>球探数据分析录入表!M86</f>
        <v>1.9099999666214</v>
      </c>
      <c r="E45" s="28">
        <f>球探数据分析录入表!N86</f>
        <v>3.47000002861022</v>
      </c>
      <c r="F45" s="28">
        <f>球探数据分析录入表!O86</f>
        <v>3.71000003814697</v>
      </c>
      <c r="G45" s="29">
        <f t="shared" si="12"/>
        <v>0.924824331320847</v>
      </c>
      <c r="H45" s="28">
        <f t="shared" si="13"/>
        <v>0.523560218573668</v>
      </c>
      <c r="I45" s="28">
        <f t="shared" si="14"/>
        <v>0.288184435664258</v>
      </c>
      <c r="J45" s="28">
        <f t="shared" si="15"/>
        <v>0.269541776204258</v>
      </c>
      <c r="K45" s="61">
        <f t="shared" si="16"/>
        <v>-0.005</v>
      </c>
      <c r="L45" s="28">
        <f t="shared" si="17"/>
        <v>0.938740563796734</v>
      </c>
      <c r="M45" s="62">
        <f t="shared" si="18"/>
        <v>0.332052419190005</v>
      </c>
      <c r="N45" s="62">
        <f t="shared" si="19"/>
        <v>-2</v>
      </c>
      <c r="O45" s="62">
        <f t="shared" si="20"/>
        <v>0.333333333333333</v>
      </c>
      <c r="P45" s="63">
        <f t="shared" si="21"/>
        <v>0</v>
      </c>
      <c r="Q45" s="63">
        <f>COUNTIF(B$44:B$53,"=1")</f>
        <v>3</v>
      </c>
      <c r="R45" s="29">
        <f t="shared" si="22"/>
        <v>0.005</v>
      </c>
      <c r="S45" s="78"/>
      <c r="T45" s="78"/>
      <c r="U45" s="78"/>
      <c r="V45" s="78"/>
      <c r="W45" s="78"/>
      <c r="X45" s="78"/>
      <c r="Y45" s="81"/>
      <c r="Z45" s="81">
        <f t="shared" si="23"/>
        <v>1</v>
      </c>
      <c r="AA45" s="81">
        <f t="shared" si="24"/>
        <v>3</v>
      </c>
      <c r="AB45" s="81">
        <f t="shared" si="25"/>
        <v>0.333333333333333</v>
      </c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</row>
    <row r="46" ht="17.25" customHeight="1" spans="1:39">
      <c r="A46" s="26" t="str">
        <f>球探数据分析录入表!A87</f>
        <v>FC东京</v>
      </c>
      <c r="B46" s="27">
        <f>球探数据分析录入表!K87</f>
        <v>1</v>
      </c>
      <c r="C46" s="27">
        <f>球探数据分析录入表!L87</f>
        <v>1</v>
      </c>
      <c r="D46" s="28">
        <f>球探数据分析录入表!M87</f>
        <v>3.00999999046325</v>
      </c>
      <c r="E46" s="28">
        <f>球探数据分析录入表!N87</f>
        <v>3.17000007629395</v>
      </c>
      <c r="F46" s="28">
        <f>球探数据分析录入表!O87</f>
        <v>2.32999992370604</v>
      </c>
      <c r="G46" s="29">
        <f t="shared" si="12"/>
        <v>0.928619021050802</v>
      </c>
      <c r="H46" s="28">
        <f t="shared" si="13"/>
        <v>0.332225914673871</v>
      </c>
      <c r="I46" s="28">
        <f t="shared" si="14"/>
        <v>0.315457405656942</v>
      </c>
      <c r="J46" s="28">
        <f t="shared" si="15"/>
        <v>0.429184563409521</v>
      </c>
      <c r="K46" s="61">
        <f t="shared" si="16"/>
        <v>0.5</v>
      </c>
      <c r="L46" s="28">
        <f t="shared" si="17"/>
        <v>0.446155237651153</v>
      </c>
      <c r="M46" s="62">
        <f t="shared" si="18"/>
        <v>0.662645694180157</v>
      </c>
      <c r="N46" s="62">
        <f t="shared" si="19"/>
        <v>0</v>
      </c>
      <c r="O46" s="62">
        <f t="shared" si="20"/>
        <v>0.5</v>
      </c>
      <c r="P46" s="63">
        <f t="shared" si="21"/>
        <v>0</v>
      </c>
      <c r="Q46" s="63">
        <f>COUNTIF(B$44:B$53,"=2")</f>
        <v>2</v>
      </c>
      <c r="R46" s="29">
        <f t="shared" si="22"/>
        <v>1</v>
      </c>
      <c r="S46" s="78"/>
      <c r="T46" s="78"/>
      <c r="U46" s="78"/>
      <c r="V46" s="78"/>
      <c r="W46" s="78"/>
      <c r="X46" s="78"/>
      <c r="Y46" s="81"/>
      <c r="Z46" s="81">
        <f t="shared" si="23"/>
        <v>2</v>
      </c>
      <c r="AA46" s="81">
        <f t="shared" si="24"/>
        <v>2</v>
      </c>
      <c r="AB46" s="81">
        <f t="shared" si="25"/>
        <v>1</v>
      </c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</row>
    <row r="47" ht="17.25" customHeight="1" spans="1:39">
      <c r="A47" s="26" t="str">
        <f>球探数据分析录入表!A88</f>
        <v>FC东京</v>
      </c>
      <c r="B47" s="27">
        <f>球探数据分析录入表!K88</f>
        <v>0</v>
      </c>
      <c r="C47" s="27">
        <f>球探数据分析录入表!L88</f>
        <v>1</v>
      </c>
      <c r="D47" s="28">
        <f>球探数据分析录入表!M88</f>
        <v>2.17000007629395</v>
      </c>
      <c r="E47" s="28">
        <f>球探数据分析录入表!N88</f>
        <v>3.33999991416931</v>
      </c>
      <c r="F47" s="28">
        <f>球探数据分析录入表!O88</f>
        <v>3.11999988555907</v>
      </c>
      <c r="G47" s="29">
        <f t="shared" si="12"/>
        <v>0.925288920661042</v>
      </c>
      <c r="H47" s="28">
        <f t="shared" si="13"/>
        <v>0.460829476885483</v>
      </c>
      <c r="I47" s="28">
        <f t="shared" si="14"/>
        <v>0.299401205298746</v>
      </c>
      <c r="J47" s="28">
        <f t="shared" si="15"/>
        <v>0.320512832269161</v>
      </c>
      <c r="K47" s="61">
        <f t="shared" si="16"/>
        <v>-0.01</v>
      </c>
      <c r="L47" s="28">
        <f t="shared" si="17"/>
        <v>0.743376418274771</v>
      </c>
      <c r="M47" s="62">
        <f t="shared" si="18"/>
        <v>0.421599443143088</v>
      </c>
      <c r="N47" s="62">
        <f t="shared" si="19"/>
        <v>-1</v>
      </c>
      <c r="O47" s="62">
        <f t="shared" si="20"/>
        <v>0.5</v>
      </c>
      <c r="P47" s="63">
        <f t="shared" si="21"/>
        <v>0</v>
      </c>
      <c r="Q47" s="63">
        <f>COUNTIF(B$44:B$53,"=3")</f>
        <v>0</v>
      </c>
      <c r="R47" s="29">
        <f t="shared" si="22"/>
        <v>0.01</v>
      </c>
      <c r="S47" s="78"/>
      <c r="T47" s="78"/>
      <c r="U47" s="78"/>
      <c r="V47" s="78"/>
      <c r="W47" s="78"/>
      <c r="X47" s="78"/>
      <c r="Y47" s="81"/>
      <c r="Z47" s="81">
        <f t="shared" si="23"/>
        <v>1</v>
      </c>
      <c r="AA47" s="81">
        <f t="shared" si="24"/>
        <v>2</v>
      </c>
      <c r="AB47" s="81">
        <f t="shared" si="25"/>
        <v>0.5</v>
      </c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ht="17.25" customHeight="1" spans="1:39">
      <c r="A48" s="26" t="str">
        <f>球探数据分析录入表!A89</f>
        <v>FC东京</v>
      </c>
      <c r="B48" s="27">
        <f>球探数据分析录入表!K89</f>
        <v>0</v>
      </c>
      <c r="C48" s="27">
        <f>球探数据分析录入表!L89</f>
        <v>0</v>
      </c>
      <c r="D48" s="28">
        <f>球探数据分析录入表!M89</f>
        <v>1.74000000953674</v>
      </c>
      <c r="E48" s="28">
        <f>球探数据分析录入表!N89</f>
        <v>3.51999998092651</v>
      </c>
      <c r="F48" s="28">
        <f>球探数据分析录入表!O89</f>
        <v>4.51999998092651</v>
      </c>
      <c r="G48" s="29">
        <f t="shared" si="12"/>
        <v>0.925889498908109</v>
      </c>
      <c r="H48" s="28">
        <f t="shared" si="13"/>
        <v>0.574712640528227</v>
      </c>
      <c r="I48" s="28">
        <f t="shared" si="14"/>
        <v>0.284090910630285</v>
      </c>
      <c r="J48" s="28">
        <f t="shared" si="15"/>
        <v>0.221238938986681</v>
      </c>
      <c r="K48" s="61">
        <f t="shared" si="16"/>
        <v>0.5</v>
      </c>
      <c r="L48" s="28">
        <f t="shared" si="17"/>
        <v>1.13730198396918</v>
      </c>
      <c r="M48" s="62">
        <f t="shared" si="18"/>
        <v>0.257612976434754</v>
      </c>
      <c r="N48" s="62">
        <f t="shared" si="19"/>
        <v>0</v>
      </c>
      <c r="O48" s="62">
        <f t="shared" si="20"/>
        <v>1</v>
      </c>
      <c r="P48" s="63">
        <f t="shared" si="21"/>
        <v>0</v>
      </c>
      <c r="Q48" s="63">
        <f>COUNTIF(B$44:B$53,"=4")</f>
        <v>0</v>
      </c>
      <c r="R48" s="29">
        <f t="shared" si="22"/>
        <v>1</v>
      </c>
      <c r="S48" s="78"/>
      <c r="T48" s="78"/>
      <c r="U48" s="78"/>
      <c r="V48" s="78"/>
      <c r="W48" s="78"/>
      <c r="X48" s="78"/>
      <c r="Y48" s="81"/>
      <c r="Z48" s="81">
        <f t="shared" si="23"/>
        <v>1</v>
      </c>
      <c r="AA48" s="81">
        <f t="shared" si="24"/>
        <v>1</v>
      </c>
      <c r="AB48" s="81">
        <f t="shared" si="25"/>
        <v>1</v>
      </c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ht="17.25" customHeight="1" spans="1:39">
      <c r="A49" s="26" t="str">
        <f>球探数据分析录入表!A90</f>
        <v>FC东京</v>
      </c>
      <c r="B49" s="27">
        <f>球探数据分析录入表!K90</f>
        <v>0</v>
      </c>
      <c r="C49" s="27">
        <f>球探数据分析录入表!L90</f>
        <v>0</v>
      </c>
      <c r="D49" s="28">
        <f>球探数据分析录入表!M90</f>
        <v>1.87999999523163</v>
      </c>
      <c r="E49" s="28">
        <f>球探数据分析录入表!N90</f>
        <v>3.39000010490416</v>
      </c>
      <c r="F49" s="28">
        <f>球探数据分析录入表!O90</f>
        <v>3.95000004768371</v>
      </c>
      <c r="G49" s="29">
        <f t="shared" si="12"/>
        <v>0.925870467587042</v>
      </c>
      <c r="H49" s="28">
        <f t="shared" si="13"/>
        <v>0.531914894966152</v>
      </c>
      <c r="I49" s="28">
        <f t="shared" si="14"/>
        <v>0.29498524160909</v>
      </c>
      <c r="J49" s="28">
        <f t="shared" si="15"/>
        <v>0.253164553905866</v>
      </c>
      <c r="K49" s="61">
        <f t="shared" si="16"/>
        <v>0.5</v>
      </c>
      <c r="L49" s="28">
        <f t="shared" si="17"/>
        <v>0.970382365036636</v>
      </c>
      <c r="M49" s="62">
        <f t="shared" si="18"/>
        <v>0.306160977254633</v>
      </c>
      <c r="N49" s="62">
        <f t="shared" si="19"/>
        <v>0</v>
      </c>
      <c r="O49" s="62">
        <f t="shared" si="20"/>
        <v>1</v>
      </c>
      <c r="P49" s="63">
        <f t="shared" si="21"/>
        <v>0</v>
      </c>
      <c r="Q49" s="63">
        <f>COUNTIF(B$44:B$53,"=5")</f>
        <v>0</v>
      </c>
      <c r="R49" s="29">
        <f t="shared" si="22"/>
        <v>1</v>
      </c>
      <c r="S49" s="78"/>
      <c r="T49" s="78"/>
      <c r="U49" s="78"/>
      <c r="V49" s="78"/>
      <c r="W49" s="78"/>
      <c r="X49" s="78"/>
      <c r="Y49" s="81"/>
      <c r="Z49" s="81">
        <f t="shared" si="23"/>
        <v>1</v>
      </c>
      <c r="AA49" s="81">
        <f t="shared" si="24"/>
        <v>1</v>
      </c>
      <c r="AB49" s="81">
        <f t="shared" si="25"/>
        <v>1</v>
      </c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</row>
    <row r="50" ht="17.25" customHeight="1" spans="1:39">
      <c r="A50" s="26" t="str">
        <f>球探数据分析录入表!A91</f>
        <v>FC东京</v>
      </c>
      <c r="B50" s="27">
        <f>球探数据分析录入表!K91</f>
        <v>1</v>
      </c>
      <c r="C50" s="27">
        <f>球探数据分析录入表!L91</f>
        <v>1</v>
      </c>
      <c r="D50" s="28">
        <f>球探数据分析录入表!M91</f>
        <v>1.54999995231628</v>
      </c>
      <c r="E50" s="28">
        <f>球探数据分析录入表!N91</f>
        <v>3.8199999332428</v>
      </c>
      <c r="F50" s="28">
        <f>球探数据分析录入表!O91</f>
        <v>5.65999984741211</v>
      </c>
      <c r="G50" s="29">
        <f t="shared" si="12"/>
        <v>0.922832838519123</v>
      </c>
      <c r="H50" s="28">
        <f t="shared" si="13"/>
        <v>0.645161310170123</v>
      </c>
      <c r="I50" s="28">
        <f t="shared" si="14"/>
        <v>0.261780109286834</v>
      </c>
      <c r="J50" s="28">
        <f t="shared" si="15"/>
        <v>0.176678449992754</v>
      </c>
      <c r="K50" s="61">
        <f t="shared" si="16"/>
        <v>0.5</v>
      </c>
      <c r="L50" s="28">
        <f t="shared" si="17"/>
        <v>1.47143052978634</v>
      </c>
      <c r="M50" s="62">
        <f t="shared" si="18"/>
        <v>0.19480690395477</v>
      </c>
      <c r="N50" s="62">
        <f t="shared" si="19"/>
        <v>0</v>
      </c>
      <c r="O50" s="62">
        <f t="shared" si="20"/>
        <v>0.5</v>
      </c>
      <c r="P50" s="63">
        <f t="shared" si="21"/>
        <v>0</v>
      </c>
      <c r="Q50" s="63">
        <f>COUNTIF(B$44:B$53,"=6")</f>
        <v>0</v>
      </c>
      <c r="R50" s="29">
        <f t="shared" si="22"/>
        <v>1</v>
      </c>
      <c r="S50" s="78"/>
      <c r="T50" s="78"/>
      <c r="U50" s="78"/>
      <c r="V50" s="78"/>
      <c r="W50" s="78">
        <f>SUMPRODUCT(N49:N53,M49:M53)/SUM(M49:M53)</f>
        <v>-0.710608439756514</v>
      </c>
      <c r="X50" s="78"/>
      <c r="Y50" s="81">
        <f>SUMPRODUCT(N44:N48,M44:M48)/SUM(M44:M48)</f>
        <v>-0.343615344206623</v>
      </c>
      <c r="Z50" s="81">
        <f t="shared" si="23"/>
        <v>2</v>
      </c>
      <c r="AA50" s="81">
        <f t="shared" si="24"/>
        <v>2</v>
      </c>
      <c r="AB50" s="81">
        <f t="shared" si="25"/>
        <v>1</v>
      </c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ht="17.25" customHeight="1" spans="1:39">
      <c r="A51" s="26" t="str">
        <f>球探数据分析录入表!A92</f>
        <v>FC东京</v>
      </c>
      <c r="B51" s="27">
        <f>球探数据分析录入表!K92</f>
        <v>2</v>
      </c>
      <c r="C51" s="27">
        <f>球探数据分析录入表!L92</f>
        <v>3</v>
      </c>
      <c r="D51" s="28">
        <f>球探数据分析录入表!M92</f>
        <v>2.36999988555907</v>
      </c>
      <c r="E51" s="28">
        <f>球探数据分析录入表!N92</f>
        <v>3.25999999046325</v>
      </c>
      <c r="F51" s="28">
        <f>球探数据分析录入表!O92</f>
        <v>2.82999992370604</v>
      </c>
      <c r="G51" s="29">
        <f t="shared" si="12"/>
        <v>0.9241748577782</v>
      </c>
      <c r="H51" s="28">
        <f t="shared" si="13"/>
        <v>0.421940948644434</v>
      </c>
      <c r="I51" s="28">
        <f t="shared" si="14"/>
        <v>0.306748467155024</v>
      </c>
      <c r="J51" s="28">
        <f t="shared" si="15"/>
        <v>0.35335689998551</v>
      </c>
      <c r="K51" s="61">
        <f t="shared" si="16"/>
        <v>-0.666666666666666</v>
      </c>
      <c r="L51" s="28">
        <f t="shared" si="17"/>
        <v>0.639202420777476</v>
      </c>
      <c r="M51" s="62">
        <f t="shared" si="18"/>
        <v>0.484921136939851</v>
      </c>
      <c r="N51" s="62">
        <f t="shared" si="19"/>
        <v>-1</v>
      </c>
      <c r="O51" s="62">
        <f t="shared" si="20"/>
        <v>0.25</v>
      </c>
      <c r="P51" s="63">
        <f t="shared" si="21"/>
        <v>0</v>
      </c>
      <c r="Q51" s="63">
        <f>COUNTIF(B$44:B$53,"=7")</f>
        <v>0</v>
      </c>
      <c r="R51" s="29">
        <f t="shared" si="22"/>
        <v>0.666666666666666</v>
      </c>
      <c r="S51" s="78"/>
      <c r="T51" s="78"/>
      <c r="U51" s="78"/>
      <c r="V51" s="78"/>
      <c r="W51" s="78">
        <f>SUMPRODUCT(N59:N63,M59:M63)/SUM(M59:M63)</f>
        <v>0.683113011975097</v>
      </c>
      <c r="X51" s="78"/>
      <c r="Y51" s="81">
        <f>SUMPRODUCT(N54:N58,M54:M58)/SUM(M54:M58)</f>
        <v>-0.953289223862483</v>
      </c>
      <c r="Z51" s="81">
        <f t="shared" si="23"/>
        <v>3</v>
      </c>
      <c r="AA51" s="81">
        <f t="shared" si="24"/>
        <v>4</v>
      </c>
      <c r="AB51" s="81">
        <f t="shared" si="25"/>
        <v>0.75</v>
      </c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ht="17.25" customHeight="1" spans="1:39">
      <c r="A52" s="26" t="str">
        <f>球探数据分析录入表!A93</f>
        <v>FC东京</v>
      </c>
      <c r="B52" s="27">
        <f>球探数据分析录入表!K93</f>
        <v>0</v>
      </c>
      <c r="C52" s="27">
        <f>球探数据分析录入表!L93</f>
        <v>1</v>
      </c>
      <c r="D52" s="28">
        <f>球探数据分析录入表!M93</f>
        <v>2.01999998092651</v>
      </c>
      <c r="E52" s="28">
        <f>球探数据分析录入表!N93</f>
        <v>3.35999989509583</v>
      </c>
      <c r="F52" s="28">
        <f>球探数据分析录入表!O93</f>
        <v>3.46000003814697</v>
      </c>
      <c r="G52" s="29">
        <f t="shared" si="12"/>
        <v>0.924482787416802</v>
      </c>
      <c r="H52" s="28">
        <f t="shared" si="13"/>
        <v>0.495049509624911</v>
      </c>
      <c r="I52" s="28">
        <f t="shared" si="14"/>
        <v>0.297619056911154</v>
      </c>
      <c r="J52" s="28">
        <f t="shared" si="15"/>
        <v>0.289017337854007</v>
      </c>
      <c r="K52" s="61">
        <f t="shared" si="16"/>
        <v>-0.01</v>
      </c>
      <c r="L52" s="28">
        <f t="shared" si="17"/>
        <v>0.843877935365886</v>
      </c>
      <c r="M52" s="62">
        <f t="shared" si="18"/>
        <v>0.364613093107756</v>
      </c>
      <c r="N52" s="62">
        <f t="shared" si="19"/>
        <v>-1</v>
      </c>
      <c r="O52" s="62">
        <f t="shared" si="20"/>
        <v>0.5</v>
      </c>
      <c r="P52" s="63">
        <f t="shared" si="21"/>
        <v>0</v>
      </c>
      <c r="Q52" s="63">
        <f>COUNTIF(B$44:B$53,"=8")</f>
        <v>0</v>
      </c>
      <c r="R52" s="29">
        <f t="shared" si="22"/>
        <v>0.01</v>
      </c>
      <c r="S52" s="78"/>
      <c r="T52" s="78"/>
      <c r="U52" s="78"/>
      <c r="V52" s="78"/>
      <c r="W52" s="78">
        <f>W50-W51</f>
        <v>-1.39372145173161</v>
      </c>
      <c r="X52" s="78"/>
      <c r="Y52" s="81">
        <f>Y50-Y51</f>
        <v>0.609673879655859</v>
      </c>
      <c r="Z52" s="81">
        <f t="shared" si="23"/>
        <v>1</v>
      </c>
      <c r="AA52" s="81">
        <f t="shared" si="24"/>
        <v>2</v>
      </c>
      <c r="AB52" s="81">
        <f t="shared" si="25"/>
        <v>0.5</v>
      </c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ht="17.25" customHeight="1" spans="1:39">
      <c r="A53" s="26" t="str">
        <f>球探数据分析录入表!A94</f>
        <v>FC东京</v>
      </c>
      <c r="B53" s="27">
        <f>球探数据分析录入表!K94</f>
        <v>1</v>
      </c>
      <c r="C53" s="27">
        <f>球探数据分析录入表!L94</f>
        <v>2</v>
      </c>
      <c r="D53" s="28">
        <f>球探数据分析录入表!M94</f>
        <v>2.0699999332428</v>
      </c>
      <c r="E53" s="28">
        <f>球探数据分析录入表!N94</f>
        <v>3.3199999332428</v>
      </c>
      <c r="F53" s="28">
        <f>球探数据分析录入表!O94</f>
        <v>3.34999990463257</v>
      </c>
      <c r="G53" s="29">
        <f t="shared" si="12"/>
        <v>0.923528088254658</v>
      </c>
      <c r="H53" s="28">
        <f t="shared" si="13"/>
        <v>0.483091803019254</v>
      </c>
      <c r="I53" s="28">
        <f t="shared" si="14"/>
        <v>0.301204825333611</v>
      </c>
      <c r="J53" s="28">
        <f t="shared" si="15"/>
        <v>0.298507471184444</v>
      </c>
      <c r="K53" s="61">
        <f t="shared" si="16"/>
        <v>-0.5</v>
      </c>
      <c r="L53" s="28">
        <f t="shared" si="17"/>
        <v>0.80553926578477</v>
      </c>
      <c r="M53" s="62">
        <f t="shared" si="18"/>
        <v>0.380605322518538</v>
      </c>
      <c r="N53" s="62">
        <f t="shared" si="19"/>
        <v>-1</v>
      </c>
      <c r="O53" s="62">
        <f t="shared" si="20"/>
        <v>0.333333333333333</v>
      </c>
      <c r="P53" s="63">
        <f t="shared" si="21"/>
        <v>0</v>
      </c>
      <c r="Q53" s="63">
        <f>COUNTIF(B$44:B$53,"=9")</f>
        <v>0</v>
      </c>
      <c r="R53" s="29">
        <f t="shared" si="22"/>
        <v>0.5</v>
      </c>
      <c r="S53" s="78"/>
      <c r="T53" s="78"/>
      <c r="U53" s="78"/>
      <c r="V53" s="78"/>
      <c r="W53" s="78"/>
      <c r="X53" s="78"/>
      <c r="Y53" s="81"/>
      <c r="Z53" s="81">
        <f t="shared" si="23"/>
        <v>2</v>
      </c>
      <c r="AA53" s="81">
        <f t="shared" si="24"/>
        <v>3</v>
      </c>
      <c r="AB53" s="81">
        <f t="shared" si="25"/>
        <v>0.666666666666666</v>
      </c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ht="17.25" customHeight="1" spans="1:39">
      <c r="A54" s="30" t="str">
        <f>球探数据分析录入表!A95</f>
        <v>大阪樱花</v>
      </c>
      <c r="B54" s="31">
        <f>球探数据分析录入表!K95</f>
        <v>0</v>
      </c>
      <c r="C54" s="31">
        <f>球探数据分析录入表!L95</f>
        <v>1</v>
      </c>
      <c r="D54" s="2">
        <f>球探数据分析录入表!M95</f>
        <v>1.98000001907349</v>
      </c>
      <c r="E54" s="2">
        <f>球探数据分析录入表!N95</f>
        <v>3.49000000953674</v>
      </c>
      <c r="F54" s="2">
        <f>球探数据分析录入表!O95</f>
        <v>3.45000004768371</v>
      </c>
      <c r="G54" s="32">
        <f t="shared" si="12"/>
        <v>0.924694268137061</v>
      </c>
      <c r="H54" s="2">
        <f t="shared" si="13"/>
        <v>0.505050500185315</v>
      </c>
      <c r="I54" s="2">
        <f t="shared" si="14"/>
        <v>0.286532950506421</v>
      </c>
      <c r="J54" s="2">
        <f t="shared" si="15"/>
        <v>0.289855068457574</v>
      </c>
      <c r="K54" s="64">
        <f t="shared" si="16"/>
        <v>-0.01</v>
      </c>
      <c r="L54" s="28">
        <f t="shared" si="17"/>
        <v>0.876233515563173</v>
      </c>
      <c r="M54" s="62">
        <f t="shared" si="18"/>
        <v>0.366171208107345</v>
      </c>
      <c r="N54" s="1">
        <f t="shared" si="19"/>
        <v>-1</v>
      </c>
      <c r="O54" s="1">
        <f t="shared" si="20"/>
        <v>0.5</v>
      </c>
      <c r="P54" s="65">
        <f t="shared" si="21"/>
        <v>0</v>
      </c>
      <c r="Q54" s="65">
        <f>COUNTIF(B$54:B$63,"=0")</f>
        <v>4</v>
      </c>
      <c r="R54" s="29">
        <f t="shared" si="22"/>
        <v>0.01</v>
      </c>
      <c r="S54" s="78"/>
      <c r="T54" s="78"/>
      <c r="U54" s="78"/>
      <c r="V54" s="78"/>
      <c r="W54" s="78"/>
      <c r="X54" s="78"/>
      <c r="Y54" s="81"/>
      <c r="Z54" s="81">
        <f t="shared" si="23"/>
        <v>1</v>
      </c>
      <c r="AA54" s="81">
        <f t="shared" si="24"/>
        <v>2</v>
      </c>
      <c r="AB54" s="81">
        <f t="shared" si="25"/>
        <v>0.5</v>
      </c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  <row r="55" ht="17.25" customHeight="1" spans="1:39">
      <c r="A55" s="30" t="str">
        <f>球探数据分析录入表!A96</f>
        <v>大阪樱花</v>
      </c>
      <c r="B55" s="31">
        <f>球探数据分析录入表!K96</f>
        <v>1</v>
      </c>
      <c r="C55" s="31">
        <f>球探数据分析录入表!L96</f>
        <v>1</v>
      </c>
      <c r="D55" s="2">
        <f>球探数据分析录入表!M96</f>
        <v>2.0699999332428</v>
      </c>
      <c r="E55" s="2">
        <f>球探数据分析录入表!N96</f>
        <v>3.32999992370604</v>
      </c>
      <c r="F55" s="2">
        <f>球探数据分析录入表!O96</f>
        <v>3.39000010490416</v>
      </c>
      <c r="G55" s="32">
        <f t="shared" si="12"/>
        <v>0.927319178507054</v>
      </c>
      <c r="H55" s="2">
        <f t="shared" si="13"/>
        <v>0.483091803019254</v>
      </c>
      <c r="I55" s="2">
        <f t="shared" si="14"/>
        <v>0.300300307180509</v>
      </c>
      <c r="J55" s="2">
        <f t="shared" si="15"/>
        <v>0.29498524160909</v>
      </c>
      <c r="K55" s="64">
        <f t="shared" si="16"/>
        <v>0.5</v>
      </c>
      <c r="L55" s="28">
        <f t="shared" si="17"/>
        <v>0.811529532342132</v>
      </c>
      <c r="M55" s="62">
        <f t="shared" si="18"/>
        <v>0.376548650118355</v>
      </c>
      <c r="N55" s="1">
        <f t="shared" si="19"/>
        <v>0</v>
      </c>
      <c r="O55" s="1">
        <f t="shared" si="20"/>
        <v>0.5</v>
      </c>
      <c r="P55" s="65">
        <f t="shared" si="21"/>
        <v>0</v>
      </c>
      <c r="Q55" s="65">
        <f>COUNTIF(B$54:B$63,"=1")</f>
        <v>2</v>
      </c>
      <c r="R55" s="29">
        <f t="shared" si="22"/>
        <v>1</v>
      </c>
      <c r="S55" s="78"/>
      <c r="T55" s="78"/>
      <c r="U55" s="78"/>
      <c r="V55" s="78"/>
      <c r="W55" s="78"/>
      <c r="X55" s="79"/>
      <c r="Y55" s="81"/>
      <c r="Z55" s="81">
        <f t="shared" si="23"/>
        <v>2</v>
      </c>
      <c r="AA55" s="81">
        <f t="shared" si="24"/>
        <v>2</v>
      </c>
      <c r="AB55" s="81">
        <f t="shared" si="25"/>
        <v>1</v>
      </c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ht="17.25" customHeight="1" spans="1:39">
      <c r="A56" s="30" t="str">
        <f>球探数据分析录入表!A97</f>
        <v>大阪樱花</v>
      </c>
      <c r="B56" s="31">
        <f>球探数据分析录入表!K97</f>
        <v>1</v>
      </c>
      <c r="C56" s="31">
        <f>球探数据分析录入表!L97</f>
        <v>1</v>
      </c>
      <c r="D56" s="2">
        <f>球探数据分析录入表!M97</f>
        <v>1.80999994277953</v>
      </c>
      <c r="E56" s="2">
        <f>球探数据分析录入表!N97</f>
        <v>3.45000004768371</v>
      </c>
      <c r="F56" s="2">
        <f>球探数据分析录入表!O97</f>
        <v>4.23999977111815</v>
      </c>
      <c r="G56" s="32">
        <f t="shared" si="12"/>
        <v>0.927480019085434</v>
      </c>
      <c r="H56" s="2">
        <f t="shared" si="13"/>
        <v>0.552486205311334</v>
      </c>
      <c r="I56" s="2">
        <f t="shared" si="14"/>
        <v>0.289855068457574</v>
      </c>
      <c r="J56" s="2">
        <f t="shared" si="15"/>
        <v>0.235849069335275</v>
      </c>
      <c r="K56" s="64">
        <f t="shared" si="16"/>
        <v>0.5</v>
      </c>
      <c r="L56" s="28">
        <f t="shared" si="17"/>
        <v>1.05094513357061</v>
      </c>
      <c r="M56" s="62">
        <f t="shared" si="18"/>
        <v>0.279992298465929</v>
      </c>
      <c r="N56" s="1">
        <f t="shared" si="19"/>
        <v>0</v>
      </c>
      <c r="O56" s="1">
        <f t="shared" si="20"/>
        <v>0.5</v>
      </c>
      <c r="P56" s="65">
        <f t="shared" si="21"/>
        <v>0</v>
      </c>
      <c r="Q56" s="65">
        <f>COUNTIF(B$54:B$63,"=2")</f>
        <v>3</v>
      </c>
      <c r="R56" s="29">
        <f t="shared" si="22"/>
        <v>1</v>
      </c>
      <c r="S56" s="78"/>
      <c r="T56" s="78"/>
      <c r="U56" s="78"/>
      <c r="V56" s="78"/>
      <c r="W56" s="78"/>
      <c r="X56" s="79"/>
      <c r="Y56" s="81"/>
      <c r="Z56" s="81">
        <f t="shared" si="23"/>
        <v>2</v>
      </c>
      <c r="AA56" s="81">
        <f t="shared" si="24"/>
        <v>2</v>
      </c>
      <c r="AB56" s="81">
        <f t="shared" si="25"/>
        <v>1</v>
      </c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</row>
    <row r="57" ht="17.25" customHeight="1" spans="1:39">
      <c r="A57" s="30" t="str">
        <f>球探数据分析录入表!A98</f>
        <v>大阪樱花</v>
      </c>
      <c r="B57" s="31">
        <f>球探数据分析录入表!K98</f>
        <v>2</v>
      </c>
      <c r="C57" s="31">
        <f>球探数据分析录入表!L98</f>
        <v>2</v>
      </c>
      <c r="D57" s="2">
        <f>球探数据分析录入表!M98</f>
        <v>1.6599999666214</v>
      </c>
      <c r="E57" s="2">
        <f>球探数据分析录入表!N98</f>
        <v>3.80999994277954</v>
      </c>
      <c r="F57" s="2">
        <f>球探数据分析录入表!O98</f>
        <v>4.55999994277954</v>
      </c>
      <c r="G57" s="32">
        <f t="shared" si="12"/>
        <v>0.922360239598641</v>
      </c>
      <c r="H57" s="2">
        <f t="shared" si="13"/>
        <v>0.602409650667223</v>
      </c>
      <c r="I57" s="2">
        <f t="shared" si="14"/>
        <v>0.262467195542911</v>
      </c>
      <c r="J57" s="2">
        <f t="shared" si="15"/>
        <v>0.219298248365865</v>
      </c>
      <c r="K57" s="64">
        <f t="shared" si="16"/>
        <v>0.5</v>
      </c>
      <c r="L57" s="28">
        <f t="shared" si="17"/>
        <v>1.25042104676418</v>
      </c>
      <c r="M57" s="62">
        <f t="shared" si="18"/>
        <v>0.253560086995997</v>
      </c>
      <c r="N57" s="1">
        <f t="shared" si="19"/>
        <v>0</v>
      </c>
      <c r="O57" s="1">
        <f t="shared" si="20"/>
        <v>0.333333333333333</v>
      </c>
      <c r="P57" s="65">
        <f t="shared" si="21"/>
        <v>0</v>
      </c>
      <c r="Q57" s="65">
        <f>COUNTIF(B$54:B$63,"=3")</f>
        <v>1</v>
      </c>
      <c r="R57" s="29">
        <f t="shared" si="22"/>
        <v>1</v>
      </c>
      <c r="S57" s="78"/>
      <c r="T57" s="78"/>
      <c r="U57" s="78"/>
      <c r="V57" s="78"/>
      <c r="W57" s="78"/>
      <c r="X57" s="78"/>
      <c r="Y57" s="81"/>
      <c r="Z57" s="81">
        <f t="shared" si="23"/>
        <v>3</v>
      </c>
      <c r="AA57" s="81">
        <f t="shared" si="24"/>
        <v>3</v>
      </c>
      <c r="AB57" s="81">
        <f t="shared" si="25"/>
        <v>1</v>
      </c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</row>
    <row r="58" ht="17.25" customHeight="1" spans="1:39">
      <c r="A58" s="30" t="str">
        <f>球探数据分析录入表!A99</f>
        <v>大阪樱花</v>
      </c>
      <c r="B58" s="31">
        <f>球探数据分析录入表!K99</f>
        <v>0</v>
      </c>
      <c r="C58" s="31">
        <f>球探数据分析录入表!L99</f>
        <v>3</v>
      </c>
      <c r="D58" s="2">
        <f>球探数据分析录入表!M99</f>
        <v>2.18000006675719</v>
      </c>
      <c r="E58" s="2">
        <f>球探数据分析录入表!N99</f>
        <v>3.25</v>
      </c>
      <c r="F58" s="2">
        <f>球探数据分析录入表!O99</f>
        <v>3.14000010490416</v>
      </c>
      <c r="G58" s="32">
        <f t="shared" si="12"/>
        <v>0.921761597427693</v>
      </c>
      <c r="H58" s="2">
        <f t="shared" si="13"/>
        <v>0.458715582283225</v>
      </c>
      <c r="I58" s="2">
        <f t="shared" si="14"/>
        <v>0.307692307692307</v>
      </c>
      <c r="J58" s="2">
        <f t="shared" si="15"/>
        <v>0.318471326939818</v>
      </c>
      <c r="K58" s="64">
        <f t="shared" si="16"/>
        <v>-0.00333333333333333</v>
      </c>
      <c r="L58" s="28">
        <f t="shared" si="17"/>
        <v>0.732581001055296</v>
      </c>
      <c r="M58" s="62">
        <f t="shared" si="18"/>
        <v>0.415537641385692</v>
      </c>
      <c r="N58" s="1">
        <f t="shared" si="19"/>
        <v>-3</v>
      </c>
      <c r="O58" s="1">
        <f t="shared" si="20"/>
        <v>0.25</v>
      </c>
      <c r="P58" s="65">
        <f t="shared" si="21"/>
        <v>0</v>
      </c>
      <c r="Q58" s="65">
        <f>COUNTIF(B$54:B$63,"=4")</f>
        <v>0</v>
      </c>
      <c r="R58" s="29">
        <f t="shared" si="22"/>
        <v>0.00333333333333333</v>
      </c>
      <c r="S58" s="78"/>
      <c r="T58" s="78"/>
      <c r="U58" s="78"/>
      <c r="V58" s="78"/>
      <c r="W58" s="78"/>
      <c r="X58" s="78"/>
      <c r="Y58" s="81"/>
      <c r="Z58" s="81">
        <f t="shared" si="23"/>
        <v>1</v>
      </c>
      <c r="AA58" s="81">
        <f t="shared" si="24"/>
        <v>4</v>
      </c>
      <c r="AB58" s="81">
        <f t="shared" si="25"/>
        <v>0.25</v>
      </c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</row>
    <row r="59" ht="17.25" customHeight="1" spans="1:39">
      <c r="A59" s="30" t="str">
        <f>球探数据分析录入表!A100</f>
        <v>大阪樱花</v>
      </c>
      <c r="B59" s="31">
        <f>球探数据分析录入表!K100</f>
        <v>2</v>
      </c>
      <c r="C59" s="31">
        <f>球探数据分析录入表!L100</f>
        <v>1</v>
      </c>
      <c r="D59" s="2">
        <f>球探数据分析录入表!M100</f>
        <v>3.16000008583068</v>
      </c>
      <c r="E59" s="2">
        <f>球探数据分析录入表!N100</f>
        <v>3.34999990463257</v>
      </c>
      <c r="F59" s="2">
        <f>球探数据分析录入表!O100</f>
        <v>2.15000009536742</v>
      </c>
      <c r="G59" s="32">
        <f t="shared" si="12"/>
        <v>0.925857843457915</v>
      </c>
      <c r="H59" s="2">
        <f t="shared" si="13"/>
        <v>0.316455687607085</v>
      </c>
      <c r="I59" s="2">
        <f t="shared" si="14"/>
        <v>0.298507471184444</v>
      </c>
      <c r="J59" s="2">
        <f t="shared" si="15"/>
        <v>0.465116258438631</v>
      </c>
      <c r="K59" s="64">
        <f t="shared" si="16"/>
        <v>2</v>
      </c>
      <c r="L59" s="28">
        <f t="shared" si="17"/>
        <v>0.414413113855547</v>
      </c>
      <c r="M59" s="62">
        <f t="shared" si="18"/>
        <v>0.756331906699314</v>
      </c>
      <c r="N59" s="1">
        <f t="shared" si="19"/>
        <v>1</v>
      </c>
      <c r="O59" s="1">
        <f t="shared" si="20"/>
        <v>0.5</v>
      </c>
      <c r="P59" s="65">
        <f t="shared" si="21"/>
        <v>1</v>
      </c>
      <c r="Q59" s="65">
        <f>COUNTIF(B$54:B$63,"=5")</f>
        <v>0</v>
      </c>
      <c r="R59" s="29">
        <f t="shared" si="22"/>
        <v>2</v>
      </c>
      <c r="S59" s="78"/>
      <c r="T59" s="78"/>
      <c r="U59" s="78"/>
      <c r="V59" s="78"/>
      <c r="W59" s="78"/>
      <c r="X59" s="78">
        <f>SUMPRODUCT(AB44:AB48,M44:M48)/SUM(M44:M48)</f>
        <v>0.882082786710608</v>
      </c>
      <c r="Y59" s="81">
        <f>SUMPRODUCT(AB44:AB53,M44:M53)/SUM(M44:M53)</f>
        <v>0.822299669806874</v>
      </c>
      <c r="Z59" s="81">
        <f t="shared" si="23"/>
        <v>3</v>
      </c>
      <c r="AA59" s="81">
        <f t="shared" si="24"/>
        <v>2</v>
      </c>
      <c r="AB59" s="81">
        <f t="shared" si="25"/>
        <v>1.5</v>
      </c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</row>
    <row r="60" ht="17.25" customHeight="1" spans="1:39">
      <c r="A60" s="30" t="str">
        <f>球探数据分析录入表!A101</f>
        <v>大阪樱花</v>
      </c>
      <c r="B60" s="31">
        <f>球探数据分析录入表!K101</f>
        <v>0</v>
      </c>
      <c r="C60" s="31">
        <f>球探数据分析录入表!L101</f>
        <v>1</v>
      </c>
      <c r="D60" s="2">
        <f>球探数据分析录入表!M101</f>
        <v>2.44000005722045</v>
      </c>
      <c r="E60" s="2">
        <f>球探数据分析录入表!N101</f>
        <v>3.29999995231628</v>
      </c>
      <c r="F60" s="2">
        <f>球探数据分析录入表!O101</f>
        <v>2.71000003814697</v>
      </c>
      <c r="G60" s="32">
        <f t="shared" si="12"/>
        <v>0.924325432292472</v>
      </c>
      <c r="H60" s="2">
        <f t="shared" si="13"/>
        <v>0.409836055962701</v>
      </c>
      <c r="I60" s="2">
        <f t="shared" si="14"/>
        <v>0.303030307408973</v>
      </c>
      <c r="J60" s="2">
        <f t="shared" si="15"/>
        <v>0.369003684842666</v>
      </c>
      <c r="K60" s="64">
        <f t="shared" si="16"/>
        <v>-0.01</v>
      </c>
      <c r="L60" s="28">
        <f t="shared" si="17"/>
        <v>0.609844235095239</v>
      </c>
      <c r="M60" s="62">
        <f t="shared" si="18"/>
        <v>0.517633744279045</v>
      </c>
      <c r="N60" s="1">
        <f t="shared" si="19"/>
        <v>-1</v>
      </c>
      <c r="O60" s="1">
        <f t="shared" si="20"/>
        <v>0.5</v>
      </c>
      <c r="P60" s="65">
        <f t="shared" si="21"/>
        <v>0</v>
      </c>
      <c r="Q60" s="65">
        <f>COUNTIF(B$54:B$63,"=6")</f>
        <v>0</v>
      </c>
      <c r="R60" s="29">
        <f t="shared" si="22"/>
        <v>0.01</v>
      </c>
      <c r="S60" s="78"/>
      <c r="T60" s="78"/>
      <c r="U60" s="78"/>
      <c r="V60" s="78"/>
      <c r="W60" s="78"/>
      <c r="X60" s="78">
        <f>SUMPRODUCT(AB54:AB58,M54:M58)/SUM(M54:M58)</f>
        <v>0.7075683033549</v>
      </c>
      <c r="Y60" s="81">
        <f>SUMPRODUCT(AB54:AB63,M54:M63)/SUM(M54:M63)</f>
        <v>1.15414901852531</v>
      </c>
      <c r="Z60" s="81">
        <f t="shared" si="23"/>
        <v>1</v>
      </c>
      <c r="AA60" s="81">
        <f t="shared" si="24"/>
        <v>2</v>
      </c>
      <c r="AB60" s="81">
        <f t="shared" si="25"/>
        <v>0.5</v>
      </c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</row>
    <row r="61" ht="17.25" customHeight="1" spans="1:39">
      <c r="A61" s="30" t="str">
        <f>球探数据分析录入表!A102</f>
        <v>大阪樱花</v>
      </c>
      <c r="B61" s="31">
        <f>球探数据分析录入表!K102</f>
        <v>0</v>
      </c>
      <c r="C61" s="31">
        <f>球探数据分析录入表!L102</f>
        <v>0</v>
      </c>
      <c r="D61" s="2">
        <f>球探数据分析录入表!M102</f>
        <v>1.9099999666214</v>
      </c>
      <c r="E61" s="2">
        <f>球探数据分析录入表!N102</f>
        <v>3.3199999332428</v>
      </c>
      <c r="F61" s="2">
        <f>球探数据分析录入表!O102</f>
        <v>3.78999996185303</v>
      </c>
      <c r="G61" s="32">
        <f t="shared" si="12"/>
        <v>0.918596470791431</v>
      </c>
      <c r="H61" s="2">
        <f t="shared" si="13"/>
        <v>0.523560218573668</v>
      </c>
      <c r="I61" s="2">
        <f t="shared" si="14"/>
        <v>0.301204825333611</v>
      </c>
      <c r="J61" s="2">
        <f t="shared" si="15"/>
        <v>0.263852245399779</v>
      </c>
      <c r="K61" s="64">
        <f t="shared" si="16"/>
        <v>0.5</v>
      </c>
      <c r="L61" s="28">
        <f t="shared" si="17"/>
        <v>0.926561661982455</v>
      </c>
      <c r="M61" s="62">
        <f t="shared" si="18"/>
        <v>0.319912012941035</v>
      </c>
      <c r="N61" s="1">
        <f t="shared" si="19"/>
        <v>0</v>
      </c>
      <c r="O61" s="1">
        <f t="shared" si="20"/>
        <v>1</v>
      </c>
      <c r="P61" s="65">
        <f t="shared" si="21"/>
        <v>0</v>
      </c>
      <c r="Q61" s="65">
        <f>COUNTIF(B$54:B$63,"=7")</f>
        <v>0</v>
      </c>
      <c r="R61" s="29">
        <f t="shared" si="22"/>
        <v>1</v>
      </c>
      <c r="S61" s="78"/>
      <c r="T61" s="78"/>
      <c r="U61" s="78"/>
      <c r="V61" s="78"/>
      <c r="W61" s="78"/>
      <c r="X61" s="78"/>
      <c r="Y61" s="81"/>
      <c r="Z61" s="81">
        <f t="shared" si="23"/>
        <v>1</v>
      </c>
      <c r="AA61" s="81">
        <f t="shared" si="24"/>
        <v>1</v>
      </c>
      <c r="AB61" s="81">
        <f t="shared" si="25"/>
        <v>1</v>
      </c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</row>
    <row r="62" ht="17.25" customHeight="1" spans="1:39">
      <c r="A62" s="30" t="str">
        <f>球探数据分析录入表!A103</f>
        <v>大阪樱花</v>
      </c>
      <c r="B62" s="31">
        <f>球探数据分析录入表!K103</f>
        <v>2</v>
      </c>
      <c r="C62" s="31">
        <f>球探数据分析录入表!L103</f>
        <v>0</v>
      </c>
      <c r="D62" s="2">
        <f>球探数据分析录入表!M103</f>
        <v>1.94000005722046</v>
      </c>
      <c r="E62" s="2">
        <f>球探数据分析录入表!N103</f>
        <v>3.38000011444092</v>
      </c>
      <c r="F62" s="2">
        <f>球探数据分析录入表!O103</f>
        <v>3.67000007629395</v>
      </c>
      <c r="G62" s="32">
        <f t="shared" si="12"/>
        <v>0.922678236219545</v>
      </c>
      <c r="H62" s="2">
        <f t="shared" si="13"/>
        <v>0.515463902322122</v>
      </c>
      <c r="I62" s="2">
        <f t="shared" si="14"/>
        <v>0.295857978148444</v>
      </c>
      <c r="J62" s="2">
        <f t="shared" si="15"/>
        <v>0.272479558368244</v>
      </c>
      <c r="K62" s="64">
        <f t="shared" si="16"/>
        <v>3</v>
      </c>
      <c r="L62" s="28">
        <f t="shared" si="17"/>
        <v>0.906967900591916</v>
      </c>
      <c r="M62" s="62">
        <f t="shared" si="18"/>
        <v>0.335846431517669</v>
      </c>
      <c r="N62" s="1">
        <f t="shared" si="19"/>
        <v>2</v>
      </c>
      <c r="O62" s="1">
        <f t="shared" si="20"/>
        <v>1</v>
      </c>
      <c r="P62" s="65">
        <f t="shared" si="21"/>
        <v>1</v>
      </c>
      <c r="Q62" s="65">
        <f>COUNTIF(B$54:B$63,"=8")</f>
        <v>0</v>
      </c>
      <c r="R62" s="29">
        <f t="shared" si="22"/>
        <v>3</v>
      </c>
      <c r="S62" s="78"/>
      <c r="T62" s="78"/>
      <c r="U62" s="78"/>
      <c r="V62" s="78"/>
      <c r="W62" s="78"/>
      <c r="X62" s="78"/>
      <c r="Y62" s="81"/>
      <c r="Z62" s="81">
        <f t="shared" si="23"/>
        <v>3</v>
      </c>
      <c r="AA62" s="81">
        <f t="shared" si="24"/>
        <v>1</v>
      </c>
      <c r="AB62" s="81">
        <f t="shared" si="25"/>
        <v>3</v>
      </c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</row>
    <row r="63" ht="17.25" customHeight="1" spans="1:39">
      <c r="A63" s="30" t="str">
        <f>球探数据分析录入表!A104</f>
        <v>大阪樱花</v>
      </c>
      <c r="B63" s="31">
        <f>球探数据分析录入表!K104</f>
        <v>3</v>
      </c>
      <c r="C63" s="31">
        <f>球探数据分析录入表!L104</f>
        <v>1</v>
      </c>
      <c r="D63" s="2">
        <f>球探数据分析录入表!M104</f>
        <v>1.88999998569488</v>
      </c>
      <c r="E63" s="2">
        <f>球探数据分析录入表!N104</f>
        <v>3.36999988555907</v>
      </c>
      <c r="F63" s="2">
        <f>球探数据分析录入表!O104</f>
        <v>3.91000008583068</v>
      </c>
      <c r="G63" s="32">
        <f t="shared" si="12"/>
        <v>0.92456397614482</v>
      </c>
      <c r="H63" s="2">
        <f t="shared" si="13"/>
        <v>0.529100533105207</v>
      </c>
      <c r="I63" s="2">
        <f t="shared" si="14"/>
        <v>0.296735915121285</v>
      </c>
      <c r="J63" s="2">
        <f t="shared" si="15"/>
        <v>0.255754470089109</v>
      </c>
      <c r="K63" s="64">
        <f t="shared" si="16"/>
        <v>3</v>
      </c>
      <c r="L63" s="28">
        <f t="shared" si="17"/>
        <v>0.957664689320737</v>
      </c>
      <c r="M63" s="62">
        <f t="shared" si="18"/>
        <v>0.309691429384534</v>
      </c>
      <c r="N63" s="1">
        <f t="shared" si="19"/>
        <v>2</v>
      </c>
      <c r="O63" s="1">
        <f t="shared" si="20"/>
        <v>0.5</v>
      </c>
      <c r="P63" s="65">
        <f t="shared" si="21"/>
        <v>1</v>
      </c>
      <c r="Q63" s="65">
        <f>COUNTIF(B$54:B$63,"=9")</f>
        <v>0</v>
      </c>
      <c r="R63" s="29">
        <f t="shared" si="22"/>
        <v>3</v>
      </c>
      <c r="S63" s="78"/>
      <c r="T63" s="78"/>
      <c r="U63" s="78"/>
      <c r="V63" s="78"/>
      <c r="W63" s="78"/>
      <c r="X63" s="78"/>
      <c r="Y63" s="81"/>
      <c r="Z63" s="81">
        <f t="shared" si="23"/>
        <v>4</v>
      </c>
      <c r="AA63" s="81">
        <f t="shared" si="24"/>
        <v>2</v>
      </c>
      <c r="AB63" s="81">
        <f t="shared" si="25"/>
        <v>2</v>
      </c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</row>
    <row r="64" ht="18" customHeight="1" spans="1:39">
      <c r="A64" s="33"/>
      <c r="B64" s="1"/>
      <c r="C64" s="1"/>
      <c r="D64" s="1"/>
      <c r="E64" s="1"/>
      <c r="F64" s="1"/>
      <c r="G64" s="1"/>
      <c r="H64" s="2"/>
      <c r="I64" s="2"/>
      <c r="J64" s="2"/>
      <c r="K64" s="1"/>
      <c r="L64" s="66"/>
      <c r="M64" s="67"/>
      <c r="N64" s="67"/>
      <c r="O64" s="67"/>
      <c r="P64" s="67"/>
      <c r="Q64" s="80"/>
      <c r="R64" s="80"/>
      <c r="S64" s="78"/>
      <c r="T64" s="78"/>
      <c r="U64" s="78"/>
      <c r="V64" s="78"/>
      <c r="W64" s="78">
        <f>X64-X66-X65+X67</f>
        <v>-0.303865648662872</v>
      </c>
      <c r="X64" s="78">
        <f>SUMPRODUCT(B44:B53,M44:M53)/SUM(M44:M53)</f>
        <v>0.784105693868555</v>
      </c>
      <c r="Y64" s="81"/>
      <c r="Z64" s="81"/>
      <c r="AA64" s="81">
        <f>AB64-AB66-AB65+AB67</f>
        <v>-1.21360555308048</v>
      </c>
      <c r="AB64" s="81">
        <f>SUMPRODUCT(B49:B53,M49:M53)/SUM(M49:M53)</f>
        <v>0.892639284081177</v>
      </c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</row>
    <row r="65" ht="17.25" customHeight="1" spans="1:39">
      <c r="A65" s="33"/>
      <c r="B65" s="1"/>
      <c r="C65" s="1"/>
      <c r="D65" s="1"/>
      <c r="E65" s="1"/>
      <c r="F65" s="1"/>
      <c r="G65" s="1"/>
      <c r="H65" s="2"/>
      <c r="I65" s="2"/>
      <c r="J65" s="2"/>
      <c r="K65" s="1"/>
      <c r="L65" s="67"/>
      <c r="M65" s="67"/>
      <c r="N65" s="67"/>
      <c r="O65" s="67"/>
      <c r="P65" s="67"/>
      <c r="Q65" s="80"/>
      <c r="R65" s="80"/>
      <c r="S65" s="78"/>
      <c r="T65" s="78"/>
      <c r="U65" s="78"/>
      <c r="V65" s="78"/>
      <c r="W65" s="78"/>
      <c r="X65" s="78">
        <f>SUMPRODUCT(B54:B63,M54:M63)/SUM(M54:M63)</f>
        <v>1.08797935534258</v>
      </c>
      <c r="Y65" s="81"/>
      <c r="Z65" s="81"/>
      <c r="AA65" s="81"/>
      <c r="AB65" s="81">
        <f>SUMPRODUCT(B59:B63,M59:M63)/SUM(M59:M63)</f>
        <v>1.39028730044889</v>
      </c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</row>
    <row r="66" spans="1:39">
      <c r="A66" s="33"/>
      <c r="B66" s="82">
        <f>AVERAGE(B44:B48)</f>
        <v>0.6</v>
      </c>
      <c r="C66" s="82">
        <f>AVERAGE(C44:C48)</f>
        <v>1</v>
      </c>
      <c r="D66" s="83"/>
      <c r="E66" s="83"/>
      <c r="F66" s="83"/>
      <c r="G66" s="83"/>
      <c r="H66" s="83"/>
      <c r="I66" s="83"/>
      <c r="J66" s="83"/>
      <c r="K66" s="101"/>
      <c r="L66" s="102"/>
      <c r="M66" s="102"/>
      <c r="N66" s="102"/>
      <c r="O66" s="102"/>
      <c r="P66" s="102"/>
      <c r="Q66" s="108"/>
      <c r="R66" s="101">
        <f>AVERAGE(R44:R48)</f>
        <v>0.802999999999999</v>
      </c>
      <c r="S66" s="103"/>
      <c r="T66" s="104"/>
      <c r="U66" s="103"/>
      <c r="V66" s="109"/>
      <c r="W66" s="103">
        <f>U66-T66-U67+T67</f>
        <v>0</v>
      </c>
      <c r="X66" s="78">
        <f>SUMPRODUCT(C44:C53,L44:L53)/SUM(L44:L53)</f>
        <v>1.10331127571237</v>
      </c>
      <c r="Y66" s="81"/>
      <c r="Z66" s="81"/>
      <c r="AA66" s="81"/>
      <c r="AB66" s="81">
        <f>SUMPRODUCT(C49:C53,L49:L53)/SUM(L49:L53)</f>
        <v>1.23540378989866</v>
      </c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</row>
    <row r="67" spans="1:39">
      <c r="A67" s="33"/>
      <c r="B67" s="82">
        <f>AVERAGE(B54:B58)</f>
        <v>0.8</v>
      </c>
      <c r="C67" s="82">
        <f>AVERAGE(C54:C58)</f>
        <v>1.6</v>
      </c>
      <c r="D67" s="83"/>
      <c r="E67" s="83"/>
      <c r="F67" s="83"/>
      <c r="G67" s="83"/>
      <c r="H67" s="83"/>
      <c r="I67" s="83"/>
      <c r="J67" s="83"/>
      <c r="K67" s="101"/>
      <c r="L67" s="102"/>
      <c r="M67" s="102"/>
      <c r="N67" s="102"/>
      <c r="O67" s="102"/>
      <c r="P67" s="102"/>
      <c r="Q67" s="108"/>
      <c r="R67" s="101">
        <f>AVERAGE(R54:R58)</f>
        <v>0.602666666666666</v>
      </c>
      <c r="S67" s="103"/>
      <c r="T67" s="104"/>
      <c r="U67" s="103"/>
      <c r="V67" s="109"/>
      <c r="W67" s="104"/>
      <c r="X67" s="78">
        <f>SUMPRODUCT(C54:C63,L54:L63)/SUM(L54:L63)</f>
        <v>1.10331928852352</v>
      </c>
      <c r="Y67" s="81"/>
      <c r="Z67" s="81"/>
      <c r="AA67" s="81"/>
      <c r="AB67" s="81">
        <f>SUMPRODUCT(C59:C63,L59:L63)/SUM(L59:L63)</f>
        <v>0.519446253185894</v>
      </c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</row>
    <row r="68" spans="1:39">
      <c r="A68" s="84"/>
      <c r="B68" s="85">
        <f>AVERAGE(B44:B53)</f>
        <v>0.7</v>
      </c>
      <c r="C68" s="85">
        <f>AVERAGE(C44:C53)</f>
        <v>1.2</v>
      </c>
      <c r="D68" s="85"/>
      <c r="E68" s="86"/>
      <c r="F68" s="86"/>
      <c r="G68" s="86"/>
      <c r="H68" s="87"/>
      <c r="I68" s="87"/>
      <c r="J68" s="87"/>
      <c r="K68" s="87"/>
      <c r="L68" s="103"/>
      <c r="M68" s="103"/>
      <c r="N68" s="85">
        <f>AVERAGE(N44:N53)</f>
        <v>-0.5</v>
      </c>
      <c r="O68" s="85">
        <f>AVERAGE(O44:O53)</f>
        <v>0.541666666666666</v>
      </c>
      <c r="P68" s="104"/>
      <c r="Q68" s="110"/>
      <c r="R68" s="87">
        <f>AVERAGE(R44:R53)</f>
        <v>0.719166666666666</v>
      </c>
      <c r="S68" s="103"/>
      <c r="T68" s="87"/>
      <c r="U68" s="87"/>
      <c r="V68" s="109"/>
      <c r="W68" s="103"/>
      <c r="X68" s="103"/>
      <c r="Y68" s="81"/>
      <c r="Z68" s="81"/>
      <c r="AA68" s="81">
        <f>AB68-AB70-AB69+AB71</f>
        <v>0.628055787111662</v>
      </c>
      <c r="AB68" s="81">
        <f>SUMPRODUCT(B44:B48,M44:M48)/SUM(M44:M48)</f>
        <v>0.692628111574111</v>
      </c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</row>
    <row r="69" spans="1:39">
      <c r="A69" s="84"/>
      <c r="B69" s="85">
        <f>AVERAGE(B54:B63)</f>
        <v>1.1</v>
      </c>
      <c r="C69" s="85">
        <f>AVERAGE(C54:C63)</f>
        <v>1.1</v>
      </c>
      <c r="D69" s="85"/>
      <c r="E69" s="86"/>
      <c r="F69" s="86"/>
      <c r="G69" s="86"/>
      <c r="H69" s="87"/>
      <c r="I69" s="87"/>
      <c r="J69" s="87"/>
      <c r="K69" s="87"/>
      <c r="L69" s="103"/>
      <c r="M69" s="103"/>
      <c r="N69" s="85">
        <f>AVERAGE(N54:N63)</f>
        <v>0</v>
      </c>
      <c r="O69" s="85">
        <f>AVERAGE(O54:O63)</f>
        <v>0.558333333333333</v>
      </c>
      <c r="P69" s="104"/>
      <c r="Q69" s="110"/>
      <c r="R69" s="87">
        <f>AVERAGE(R54:R63)</f>
        <v>1.20233333333333</v>
      </c>
      <c r="S69" s="103"/>
      <c r="T69" s="87"/>
      <c r="U69" s="87"/>
      <c r="V69" s="109"/>
      <c r="W69" s="103"/>
      <c r="X69" s="103"/>
      <c r="Y69" s="81"/>
      <c r="Z69" s="81"/>
      <c r="AA69" s="81"/>
      <c r="AB69" s="81">
        <f>SUMPRODUCT(B54:B58,M54:M58)/SUM(M54:M58)</f>
        <v>0.687820264465382</v>
      </c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</row>
    <row r="70" ht="22.5" customHeight="1" spans="1:33">
      <c r="A70" s="88"/>
      <c r="B70" s="88"/>
      <c r="C70" s="88"/>
      <c r="D70" s="88"/>
      <c r="E70" s="88"/>
      <c r="F70" s="88"/>
      <c r="G70" s="88"/>
      <c r="H70" s="88"/>
      <c r="I70" s="88"/>
      <c r="J70" s="88"/>
      <c r="AB70" s="81">
        <f>SUMPRODUCT(C44:C48,L44:L48)/SUM(L44:L48)</f>
        <v>0.951879062079108</v>
      </c>
      <c r="AD70" s="4"/>
      <c r="AE70" s="55"/>
      <c r="AF70" s="111"/>
      <c r="AG70" s="113"/>
    </row>
    <row r="71" ht="23.25" customHeight="1" spans="1:33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4"/>
      <c r="L71" s="34"/>
      <c r="M71" s="4"/>
      <c r="N71" s="4"/>
      <c r="O71" s="4"/>
      <c r="P71" s="4"/>
      <c r="Q71" s="4"/>
      <c r="R71" s="4"/>
      <c r="AB71" s="81">
        <f>SUMPRODUCT(C54:C58,L54:L58)/SUM(L54:L58)</f>
        <v>1.57512700208204</v>
      </c>
      <c r="AD71" s="4"/>
      <c r="AE71" s="55"/>
      <c r="AF71" s="111"/>
      <c r="AG71" s="113"/>
    </row>
    <row r="72" ht="32.25" customHeight="1" spans="1:10">
      <c r="A72" s="89" t="s">
        <v>268</v>
      </c>
      <c r="B72" s="90">
        <f>SUM(B79:K79)</f>
        <v>0.260764167948257</v>
      </c>
      <c r="C72" s="90">
        <f>SUM(L79:O79)</f>
        <v>0.304552848199286</v>
      </c>
      <c r="D72" s="90">
        <f>SUM(Q79:Z79)</f>
        <v>0.434480218807365</v>
      </c>
      <c r="E72" s="91">
        <f>1/B72</f>
        <v>3.83488271363429</v>
      </c>
      <c r="F72" s="91">
        <f>1/C72</f>
        <v>3.28350237376747</v>
      </c>
      <c r="G72" s="91">
        <f>1/D72</f>
        <v>2.30160075582951</v>
      </c>
      <c r="H72" s="92">
        <f>0.9/B72</f>
        <v>3.45139444227086</v>
      </c>
      <c r="I72" s="92">
        <f>0.9/C72</f>
        <v>2.95515213639072</v>
      </c>
      <c r="J72" s="92">
        <f>0.9/D72</f>
        <v>2.07144068024656</v>
      </c>
    </row>
    <row r="73" spans="1:27">
      <c r="A73" s="93" t="s">
        <v>229</v>
      </c>
      <c r="B73" s="20">
        <v>0</v>
      </c>
      <c r="C73" s="20">
        <v>1</v>
      </c>
      <c r="D73" s="20">
        <v>2</v>
      </c>
      <c r="E73" s="20">
        <v>3</v>
      </c>
      <c r="F73" s="20">
        <v>4</v>
      </c>
      <c r="G73" s="20">
        <v>5</v>
      </c>
      <c r="H73" s="20">
        <v>6</v>
      </c>
      <c r="I73" s="20">
        <v>7</v>
      </c>
      <c r="J73" s="20">
        <v>8</v>
      </c>
      <c r="K73" s="20"/>
      <c r="L73" s="20" t="s">
        <v>230</v>
      </c>
      <c r="M73" s="56"/>
      <c r="N73" s="56"/>
      <c r="O73" s="56"/>
      <c r="P73" s="57" t="s">
        <v>232</v>
      </c>
      <c r="Q73" s="57"/>
      <c r="R73" s="57"/>
      <c r="S73" s="57"/>
      <c r="T73" s="57"/>
      <c r="U73" s="77"/>
      <c r="V73" s="77"/>
      <c r="W73" s="77"/>
      <c r="X73" s="77"/>
      <c r="Y73" s="77"/>
      <c r="Z73" s="77"/>
      <c r="AA73" s="112"/>
    </row>
    <row r="74" ht="21" customHeight="1" spans="1:27">
      <c r="A74" s="7" t="s">
        <v>234</v>
      </c>
      <c r="B74" s="8">
        <f t="shared" ref="B74:J74" si="26">POISSON(B73,$L$74,FALSE)</f>
        <v>0.439419970843183</v>
      </c>
      <c r="C74" s="8">
        <f t="shared" si="26"/>
        <v>0.361334896930895</v>
      </c>
      <c r="D74" s="8">
        <f t="shared" si="26"/>
        <v>0.148562783217988</v>
      </c>
      <c r="E74" s="8">
        <f t="shared" si="26"/>
        <v>0.0407210425285806</v>
      </c>
      <c r="F74" s="8">
        <f t="shared" si="26"/>
        <v>0.00837122495636087</v>
      </c>
      <c r="G74" s="8">
        <f t="shared" si="26"/>
        <v>0.00137673110349892</v>
      </c>
      <c r="H74" s="8">
        <f t="shared" si="26"/>
        <v>0.000188680921970003</v>
      </c>
      <c r="I74" s="8">
        <f t="shared" si="26"/>
        <v>2.21646085478271e-5</v>
      </c>
      <c r="J74" s="8">
        <f t="shared" si="26"/>
        <v>2.27824378628461e-6</v>
      </c>
      <c r="K74" s="37" t="s">
        <v>235</v>
      </c>
      <c r="L74" s="38">
        <f>P74</f>
        <v>0.822299669806874</v>
      </c>
      <c r="M74" s="39"/>
      <c r="N74" s="39"/>
      <c r="O74" s="39"/>
      <c r="P74" s="40">
        <f>Y59</f>
        <v>0.822299669806874</v>
      </c>
      <c r="Q74" s="71"/>
      <c r="R74" s="71"/>
      <c r="S74" s="71"/>
      <c r="T74" s="71"/>
      <c r="U74" s="9"/>
      <c r="V74" s="10"/>
      <c r="W74" s="10"/>
      <c r="X74" s="10"/>
      <c r="Y74" s="9"/>
      <c r="Z74" s="9"/>
      <c r="AA74" s="112"/>
    </row>
    <row r="75" ht="21" customHeight="1" spans="1:27">
      <c r="A75" s="7" t="s">
        <v>236</v>
      </c>
      <c r="B75" s="8">
        <f t="shared" ref="B75:J75" si="27">POISSON(B73,$L$75,FALSE)</f>
        <v>0.315325759140671</v>
      </c>
      <c r="C75" s="8">
        <f t="shared" si="27"/>
        <v>0.363932915427953</v>
      </c>
      <c r="D75" s="8">
        <f t="shared" si="27"/>
        <v>0.210016408575113</v>
      </c>
      <c r="E75" s="8">
        <f t="shared" si="27"/>
        <v>0.0807967439437259</v>
      </c>
      <c r="F75" s="8">
        <f t="shared" si="27"/>
        <v>0.023312870680673</v>
      </c>
      <c r="G75" s="8">
        <f t="shared" si="27"/>
        <v>0.00538130536302125</v>
      </c>
      <c r="H75" s="8">
        <f t="shared" si="27"/>
        <v>0.00103513805051933</v>
      </c>
      <c r="I75" s="8">
        <f t="shared" si="27"/>
        <v>0.000170671937863583</v>
      </c>
      <c r="J75" s="8">
        <f t="shared" si="27"/>
        <v>2.46226061968835e-5</v>
      </c>
      <c r="K75" s="37" t="s">
        <v>237</v>
      </c>
      <c r="L75" s="38">
        <f>P75</f>
        <v>1.15414901852531</v>
      </c>
      <c r="M75" s="44"/>
      <c r="N75" s="48"/>
      <c r="O75" s="43"/>
      <c r="P75" s="40">
        <f>Y60</f>
        <v>1.15414901852531</v>
      </c>
      <c r="Q75" s="43"/>
      <c r="R75" s="43"/>
      <c r="S75" s="43"/>
      <c r="T75" s="43"/>
      <c r="U75" s="9"/>
      <c r="V75" s="9"/>
      <c r="W75" s="9"/>
      <c r="X75" s="9"/>
      <c r="Y75" s="9"/>
      <c r="Z75" s="9"/>
      <c r="AA75" s="112"/>
    </row>
    <row r="76" ht="21.75" customHeight="1" spans="1:26">
      <c r="A76" s="9" t="s">
        <v>239</v>
      </c>
      <c r="B76" s="8">
        <f t="shared" ref="B76:J76" si="28">POISSON(B73,$M$75,FALSE)</f>
        <v>1</v>
      </c>
      <c r="C76" s="8">
        <f t="shared" si="28"/>
        <v>0</v>
      </c>
      <c r="D76" s="8">
        <f t="shared" si="28"/>
        <v>0</v>
      </c>
      <c r="E76" s="8">
        <f t="shared" si="28"/>
        <v>0</v>
      </c>
      <c r="F76" s="8">
        <f t="shared" si="28"/>
        <v>0</v>
      </c>
      <c r="G76" s="8">
        <f t="shared" si="28"/>
        <v>0</v>
      </c>
      <c r="H76" s="8">
        <f t="shared" si="28"/>
        <v>0</v>
      </c>
      <c r="I76" s="8">
        <f t="shared" si="28"/>
        <v>0</v>
      </c>
      <c r="J76" s="8">
        <f t="shared" si="28"/>
        <v>0</v>
      </c>
      <c r="K76" s="37" t="s">
        <v>240</v>
      </c>
      <c r="L76" s="44"/>
      <c r="M76" s="45">
        <f>L74+L75</f>
        <v>1.97644868833218</v>
      </c>
      <c r="N76" s="46"/>
      <c r="O76" s="43"/>
      <c r="P76" s="43"/>
      <c r="Q76" s="74"/>
      <c r="R76" s="74"/>
      <c r="S76" s="74"/>
      <c r="T76" s="74"/>
      <c r="U76" s="9"/>
      <c r="V76" s="9"/>
      <c r="W76" s="9"/>
      <c r="X76" s="9"/>
      <c r="Y76" s="9"/>
      <c r="Z76" s="9"/>
    </row>
    <row r="77" ht="38.25" customHeight="1" spans="1:26">
      <c r="A77" s="10" t="s">
        <v>229</v>
      </c>
      <c r="B77" s="11">
        <v>0</v>
      </c>
      <c r="C77" s="11">
        <v>1</v>
      </c>
      <c r="D77" s="11">
        <v>2</v>
      </c>
      <c r="E77" s="11">
        <v>3</v>
      </c>
      <c r="F77" s="11">
        <v>4</v>
      </c>
      <c r="G77" s="11">
        <v>5</v>
      </c>
      <c r="H77" s="11">
        <v>6</v>
      </c>
      <c r="I77" s="11">
        <v>7</v>
      </c>
      <c r="J77" s="11">
        <v>8</v>
      </c>
      <c r="K77" s="47"/>
      <c r="L77" s="44"/>
      <c r="M77" s="48"/>
      <c r="N77" s="46"/>
      <c r="O77" s="43"/>
      <c r="P77" s="43"/>
      <c r="Q77" s="75"/>
      <c r="R77" s="75"/>
      <c r="S77" s="75"/>
      <c r="T77" s="75"/>
      <c r="U77" s="9"/>
      <c r="V77" s="9"/>
      <c r="W77" s="9"/>
      <c r="X77" s="9"/>
      <c r="Y77" s="9"/>
      <c r="Z77" s="9"/>
    </row>
    <row r="78" ht="27" customHeight="1" spans="1:26">
      <c r="A78" s="94" t="s">
        <v>77</v>
      </c>
      <c r="B78" s="95" t="s">
        <v>241</v>
      </c>
      <c r="C78" s="95" t="s">
        <v>242</v>
      </c>
      <c r="D78" s="95" t="s">
        <v>243</v>
      </c>
      <c r="E78" s="96" t="s">
        <v>244</v>
      </c>
      <c r="F78" s="97" t="s">
        <v>245</v>
      </c>
      <c r="G78" s="97" t="s">
        <v>246</v>
      </c>
      <c r="H78" s="97" t="s">
        <v>247</v>
      </c>
      <c r="I78" s="97" t="s">
        <v>248</v>
      </c>
      <c r="J78" s="95" t="s">
        <v>249</v>
      </c>
      <c r="K78" s="95" t="s">
        <v>250</v>
      </c>
      <c r="L78" s="105" t="s">
        <v>251</v>
      </c>
      <c r="M78" s="105" t="s">
        <v>252</v>
      </c>
      <c r="N78" s="105" t="s">
        <v>253</v>
      </c>
      <c r="O78" s="106" t="s">
        <v>254</v>
      </c>
      <c r="P78" s="107" t="s">
        <v>255</v>
      </c>
      <c r="Q78" s="95" t="s">
        <v>256</v>
      </c>
      <c r="R78" s="95" t="s">
        <v>257</v>
      </c>
      <c r="S78" s="95" t="s">
        <v>258</v>
      </c>
      <c r="T78" s="96" t="s">
        <v>259</v>
      </c>
      <c r="U78" s="97" t="s">
        <v>260</v>
      </c>
      <c r="V78" s="97" t="s">
        <v>261</v>
      </c>
      <c r="W78" s="97" t="s">
        <v>262</v>
      </c>
      <c r="X78" s="97" t="s">
        <v>263</v>
      </c>
      <c r="Y78" s="95" t="s">
        <v>264</v>
      </c>
      <c r="Z78" s="95" t="s">
        <v>265</v>
      </c>
    </row>
    <row r="79" ht="42.75" customHeight="1" spans="1:26">
      <c r="A79" s="12" t="s">
        <v>266</v>
      </c>
      <c r="B79" s="13">
        <f>C74*B75</f>
        <v>0.113938200678751</v>
      </c>
      <c r="C79" s="12">
        <f>D74*B75</f>
        <v>0.046845672398263</v>
      </c>
      <c r="D79" s="12">
        <f>D74*C75</f>
        <v>0.0540668868206134</v>
      </c>
      <c r="E79" s="12">
        <f>E74*B75</f>
        <v>0.0128403936483242</v>
      </c>
      <c r="F79" s="12">
        <f>E74*C75</f>
        <v>0.014819727726692</v>
      </c>
      <c r="G79" s="12">
        <f>E74*D75</f>
        <v>0.00855208710528696</v>
      </c>
      <c r="H79" s="12">
        <f>F74*B75</f>
        <v>0.00263966286430182</v>
      </c>
      <c r="I79" s="13">
        <f>F74*C75</f>
        <v>0.00304656430407165</v>
      </c>
      <c r="J79" s="13">
        <f>F74*D75</f>
        <v>0.00175809460070927</v>
      </c>
      <c r="K79" s="13">
        <f>F74*E75+G74*SUM(B75:F75)+H74*SUM(B75:G75)+I74*SUM(B75:H75)+J74*SUM(B75:I75)</f>
        <v>0.00225687780124443</v>
      </c>
      <c r="L79" s="12">
        <f>B74*B75</f>
        <v>0.138560435887698</v>
      </c>
      <c r="M79" s="12">
        <f>C74*C75</f>
        <v>0.13150166248592</v>
      </c>
      <c r="N79" s="12">
        <f>D74*D75</f>
        <v>0.031200622179365</v>
      </c>
      <c r="O79" s="12">
        <f>E74*E75</f>
        <v>0.0032901276463033</v>
      </c>
      <c r="P79" s="12">
        <f>F74*F75+G74*G75+H74*H75+I74*I75+J74*J75</f>
        <v>0.000202765045091891</v>
      </c>
      <c r="Q79" s="13">
        <f>C75*B74</f>
        <v>0.159919391086226</v>
      </c>
      <c r="R79" s="12">
        <f>D75*B74</f>
        <v>0.0922854041326663</v>
      </c>
      <c r="S79" s="12">
        <f>D75*C74</f>
        <v>0.0758862573462854</v>
      </c>
      <c r="T79" s="12">
        <f>E75*B74</f>
        <v>0.0355037028679761</v>
      </c>
      <c r="U79" s="12">
        <f>E75*C74</f>
        <v>0.0291946831452581</v>
      </c>
      <c r="V79" s="12">
        <f>E75*D74</f>
        <v>0.012003389155231</v>
      </c>
      <c r="W79" s="12">
        <f>F75*B74</f>
        <v>0.0102441409547722</v>
      </c>
      <c r="X79" s="13">
        <f>F75*C74</f>
        <v>0.00842375372456428</v>
      </c>
      <c r="Y79" s="13">
        <f>F75*D74</f>
        <v>0.00346342495312182</v>
      </c>
      <c r="Z79" s="13">
        <f>1-SUM(B79:Y79)</f>
        <v>0.00755607144126369</v>
      </c>
    </row>
    <row r="80" spans="1:26">
      <c r="A80" s="21" t="s">
        <v>266</v>
      </c>
      <c r="B80" s="22" t="s">
        <v>241</v>
      </c>
      <c r="C80" s="22" t="s">
        <v>242</v>
      </c>
      <c r="D80" s="22" t="s">
        <v>243</v>
      </c>
      <c r="E80" s="23" t="s">
        <v>267</v>
      </c>
      <c r="F80" s="24" t="s">
        <v>245</v>
      </c>
      <c r="G80" s="24" t="s">
        <v>246</v>
      </c>
      <c r="H80" s="24" t="s">
        <v>247</v>
      </c>
      <c r="I80" s="24" t="s">
        <v>248</v>
      </c>
      <c r="J80" s="22" t="s">
        <v>249</v>
      </c>
      <c r="K80" s="22" t="s">
        <v>250</v>
      </c>
      <c r="L80" s="58" t="s">
        <v>251</v>
      </c>
      <c r="M80" s="58" t="s">
        <v>252</v>
      </c>
      <c r="N80" s="58" t="s">
        <v>253</v>
      </c>
      <c r="O80" s="59" t="s">
        <v>254</v>
      </c>
      <c r="P80" s="60" t="s">
        <v>255</v>
      </c>
      <c r="Q80" s="22" t="s">
        <v>256</v>
      </c>
      <c r="R80" s="22" t="s">
        <v>257</v>
      </c>
      <c r="S80" s="22" t="s">
        <v>258</v>
      </c>
      <c r="T80" s="23" t="s">
        <v>259</v>
      </c>
      <c r="U80" s="24" t="s">
        <v>260</v>
      </c>
      <c r="V80" s="24" t="s">
        <v>261</v>
      </c>
      <c r="W80" s="24" t="s">
        <v>262</v>
      </c>
      <c r="X80" s="24" t="s">
        <v>263</v>
      </c>
      <c r="Y80" s="22" t="s">
        <v>264</v>
      </c>
      <c r="Z80" s="22" t="s">
        <v>265</v>
      </c>
    </row>
    <row r="81" ht="19.5" customHeight="1" spans="1:1">
      <c r="A81" s="98"/>
    </row>
    <row r="84" spans="1:7">
      <c r="A84" s="89" t="s">
        <v>269</v>
      </c>
      <c r="B84" s="99">
        <f>SUM(B91:K91)</f>
        <v>0.373672324511945</v>
      </c>
      <c r="C84" s="99">
        <f>SUM(L91:O91)</f>
        <v>0.352562141061081</v>
      </c>
      <c r="D84" s="99">
        <f>SUM(Q91:Z91)</f>
        <v>0.273710427450035</v>
      </c>
      <c r="E84" s="91">
        <f>0.9/B84</f>
        <v>2.40852731380493</v>
      </c>
      <c r="F84" s="91">
        <f>0.9/C84</f>
        <v>2.55274147499597</v>
      </c>
      <c r="G84" s="91">
        <f>0.9/D84</f>
        <v>3.28814655833414</v>
      </c>
    </row>
    <row r="85" spans="1:27">
      <c r="A85" s="93" t="s">
        <v>229</v>
      </c>
      <c r="B85" s="20">
        <v>0</v>
      </c>
      <c r="C85" s="20">
        <v>1</v>
      </c>
      <c r="D85" s="20">
        <v>2</v>
      </c>
      <c r="E85" s="20">
        <v>3</v>
      </c>
      <c r="F85" s="20">
        <v>4</v>
      </c>
      <c r="G85" s="20">
        <v>5</v>
      </c>
      <c r="H85" s="20">
        <v>6</v>
      </c>
      <c r="I85" s="20">
        <v>7</v>
      </c>
      <c r="J85" s="20">
        <v>8</v>
      </c>
      <c r="K85" s="20"/>
      <c r="L85" s="20" t="s">
        <v>230</v>
      </c>
      <c r="M85" s="56"/>
      <c r="N85" s="56"/>
      <c r="O85" s="56"/>
      <c r="P85" s="57" t="s">
        <v>232</v>
      </c>
      <c r="Q85" s="57" t="s">
        <v>233</v>
      </c>
      <c r="R85" s="57"/>
      <c r="S85" s="57"/>
      <c r="T85" s="57"/>
      <c r="U85" s="77"/>
      <c r="V85" s="77"/>
      <c r="W85" s="77"/>
      <c r="X85" s="77"/>
      <c r="Y85" s="77"/>
      <c r="Z85" s="77"/>
      <c r="AA85" s="112"/>
    </row>
    <row r="86" ht="21" customHeight="1" spans="1:27">
      <c r="A86" s="7" t="s">
        <v>234</v>
      </c>
      <c r="B86" s="8">
        <f t="shared" ref="B86:J86" si="29">POISSON(B85,$L$86,FALSE)</f>
        <v>0.413919906385301</v>
      </c>
      <c r="C86" s="8">
        <f t="shared" si="29"/>
        <v>0.365111624499341</v>
      </c>
      <c r="D86" s="8">
        <f t="shared" si="29"/>
        <v>0.161029339599408</v>
      </c>
      <c r="E86" s="8">
        <f t="shared" si="29"/>
        <v>0.0473470695386715</v>
      </c>
      <c r="F86" s="8">
        <f t="shared" si="29"/>
        <v>0.0104410087603131</v>
      </c>
      <c r="G86" s="8">
        <f t="shared" si="29"/>
        <v>0.00184196682067336</v>
      </c>
      <c r="H86" s="8">
        <f t="shared" si="29"/>
        <v>0.00027079453770134</v>
      </c>
      <c r="I86" s="8">
        <f t="shared" si="29"/>
        <v>3.41233143488013e-5</v>
      </c>
      <c r="J86" s="8">
        <f t="shared" si="29"/>
        <v>3.76244852657409e-6</v>
      </c>
      <c r="K86" s="37" t="s">
        <v>235</v>
      </c>
      <c r="L86" s="38">
        <f>P86</f>
        <v>0.882082786710608</v>
      </c>
      <c r="M86" s="39"/>
      <c r="N86" s="39"/>
      <c r="O86" s="39"/>
      <c r="P86" s="40">
        <f>X59</f>
        <v>0.882082786710608</v>
      </c>
      <c r="Q86" s="71">
        <f>HLOOKUP(--LARGE(B88:J88,1),B88:J89,2,FALSE)</f>
        <v>0</v>
      </c>
      <c r="R86" s="71">
        <f>HLOOKUP(--LARGE(B88:J88,2),B88:J89,2,FALSE)</f>
        <v>1</v>
      </c>
      <c r="S86" s="71">
        <f>HLOOKUP(--LARGE(B88:J88,3),B88:J89,2,FALSE)</f>
        <v>1</v>
      </c>
      <c r="T86" s="71"/>
      <c r="U86" s="9"/>
      <c r="V86" s="10"/>
      <c r="W86" s="10"/>
      <c r="X86" s="10"/>
      <c r="Y86" s="9"/>
      <c r="Z86" s="9"/>
      <c r="AA86" s="112"/>
    </row>
    <row r="87" ht="21" customHeight="1" spans="1:26">
      <c r="A87" s="7" t="s">
        <v>236</v>
      </c>
      <c r="B87" s="8">
        <f t="shared" ref="B87:J87" si="30">POISSON(B85,$L$87,FALSE)</f>
        <v>0.492841181768047</v>
      </c>
      <c r="C87" s="8">
        <f t="shared" si="30"/>
        <v>0.348718798807041</v>
      </c>
      <c r="D87" s="8">
        <f t="shared" si="30"/>
        <v>0.123371184409928</v>
      </c>
      <c r="E87" s="8">
        <f t="shared" si="30"/>
        <v>0.0290978465452725</v>
      </c>
      <c r="F87" s="8">
        <f t="shared" si="30"/>
        <v>0.00514717847782992</v>
      </c>
      <c r="G87" s="8">
        <f t="shared" si="30"/>
        <v>0.000728396068524595</v>
      </c>
      <c r="H87" s="8">
        <f t="shared" si="30"/>
        <v>8.58983283960546e-5</v>
      </c>
      <c r="I87" s="8">
        <f t="shared" si="30"/>
        <v>8.68270492631691e-6</v>
      </c>
      <c r="J87" s="8">
        <f t="shared" si="30"/>
        <v>7.67950849155659e-7</v>
      </c>
      <c r="K87" s="37" t="s">
        <v>237</v>
      </c>
      <c r="L87" s="38">
        <f>P87</f>
        <v>0.7075683033549</v>
      </c>
      <c r="M87" s="44"/>
      <c r="N87" s="48"/>
      <c r="O87" s="43"/>
      <c r="P87" s="40">
        <f>X60</f>
        <v>0.7075683033549</v>
      </c>
      <c r="Q87" s="43" t="s">
        <v>238</v>
      </c>
      <c r="R87" s="43"/>
      <c r="S87" s="43"/>
      <c r="T87" s="43"/>
      <c r="U87" s="9"/>
      <c r="V87" s="9"/>
      <c r="W87" s="9"/>
      <c r="X87" s="9"/>
      <c r="Y87" s="9"/>
      <c r="Z87" s="9"/>
    </row>
    <row r="88" ht="21" customHeight="1" spans="1:26">
      <c r="A88" s="9" t="s">
        <v>239</v>
      </c>
      <c r="B88" s="8">
        <f t="shared" ref="B88:J88" si="31">POISSON(B85,$M$75,FALSE)</f>
        <v>1</v>
      </c>
      <c r="C88" s="8">
        <f t="shared" si="31"/>
        <v>0</v>
      </c>
      <c r="D88" s="8">
        <f t="shared" si="31"/>
        <v>0</v>
      </c>
      <c r="E88" s="8">
        <f t="shared" si="31"/>
        <v>0</v>
      </c>
      <c r="F88" s="8">
        <f t="shared" si="31"/>
        <v>0</v>
      </c>
      <c r="G88" s="8">
        <f t="shared" si="31"/>
        <v>0</v>
      </c>
      <c r="H88" s="8">
        <f t="shared" si="31"/>
        <v>0</v>
      </c>
      <c r="I88" s="8">
        <f t="shared" si="31"/>
        <v>0</v>
      </c>
      <c r="J88" s="8">
        <f t="shared" si="31"/>
        <v>0</v>
      </c>
      <c r="K88" s="37" t="s">
        <v>240</v>
      </c>
      <c r="L88" s="44"/>
      <c r="M88" s="45">
        <f>L86+L87</f>
        <v>1.5896510900655</v>
      </c>
      <c r="N88" s="46"/>
      <c r="O88" s="43"/>
      <c r="P88" s="43" t="s">
        <v>77</v>
      </c>
      <c r="Q88" s="74" t="str">
        <f>HLOOKUP(--LARGE($B$91:$Z$91,1),$B$91:$Z$92,2,FALSE)</f>
        <v>0:0</v>
      </c>
      <c r="R88" s="74" t="str">
        <f>HLOOKUP(--LARGE($B91:$Z91,2),$B91:$Z92,2,FALSE)</f>
        <v>１:０</v>
      </c>
      <c r="S88" s="74" t="str">
        <f>HLOOKUP(--LARGE($B91:$Z91,3),$B91:$Z92,2,FALSE)</f>
        <v>0:1</v>
      </c>
      <c r="T88" s="74" t="str">
        <f>HLOOKUP(--LARGE($B91:$Z91,4),$B91:$Z92,2,FALSE)</f>
        <v>1:1</v>
      </c>
      <c r="U88" s="9"/>
      <c r="V88" s="9"/>
      <c r="W88" s="9"/>
      <c r="X88" s="9"/>
      <c r="Y88" s="9"/>
      <c r="Z88" s="9"/>
    </row>
    <row r="89" spans="1:26">
      <c r="A89" s="10" t="s">
        <v>229</v>
      </c>
      <c r="B89" s="11">
        <v>0</v>
      </c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8</v>
      </c>
      <c r="K89" s="47"/>
      <c r="L89" s="44"/>
      <c r="M89" s="48"/>
      <c r="N89" s="46"/>
      <c r="O89" s="43"/>
      <c r="P89" s="43"/>
      <c r="Q89" s="75"/>
      <c r="R89" s="75"/>
      <c r="S89" s="75"/>
      <c r="T89" s="75"/>
      <c r="U89" s="9"/>
      <c r="V89" s="9"/>
      <c r="W89" s="9"/>
      <c r="X89" s="9"/>
      <c r="Y89" s="9"/>
      <c r="Z89" s="9"/>
    </row>
    <row r="90" spans="1:26">
      <c r="A90" s="94" t="s">
        <v>77</v>
      </c>
      <c r="B90" s="95" t="s">
        <v>241</v>
      </c>
      <c r="C90" s="95" t="s">
        <v>242</v>
      </c>
      <c r="D90" s="95" t="s">
        <v>243</v>
      </c>
      <c r="E90" s="96" t="s">
        <v>244</v>
      </c>
      <c r="F90" s="97" t="s">
        <v>245</v>
      </c>
      <c r="G90" s="97" t="s">
        <v>246</v>
      </c>
      <c r="H90" s="97" t="s">
        <v>247</v>
      </c>
      <c r="I90" s="97" t="s">
        <v>248</v>
      </c>
      <c r="J90" s="95" t="s">
        <v>249</v>
      </c>
      <c r="K90" s="95" t="s">
        <v>250</v>
      </c>
      <c r="L90" s="105" t="s">
        <v>251</v>
      </c>
      <c r="M90" s="105" t="s">
        <v>252</v>
      </c>
      <c r="N90" s="105" t="s">
        <v>253</v>
      </c>
      <c r="O90" s="106" t="s">
        <v>254</v>
      </c>
      <c r="P90" s="107" t="s">
        <v>255</v>
      </c>
      <c r="Q90" s="95" t="s">
        <v>256</v>
      </c>
      <c r="R90" s="95" t="s">
        <v>257</v>
      </c>
      <c r="S90" s="95" t="s">
        <v>258</v>
      </c>
      <c r="T90" s="96" t="s">
        <v>259</v>
      </c>
      <c r="U90" s="97" t="s">
        <v>260</v>
      </c>
      <c r="V90" s="97" t="s">
        <v>261</v>
      </c>
      <c r="W90" s="97" t="s">
        <v>262</v>
      </c>
      <c r="X90" s="97" t="s">
        <v>263</v>
      </c>
      <c r="Y90" s="95" t="s">
        <v>264</v>
      </c>
      <c r="Z90" s="95" t="s">
        <v>265</v>
      </c>
    </row>
    <row r="91" spans="1:26">
      <c r="A91" s="12" t="s">
        <v>266</v>
      </c>
      <c r="B91" s="13">
        <f>C86*B87</f>
        <v>0.179942044495506</v>
      </c>
      <c r="C91" s="12">
        <f>D86*B87</f>
        <v>0.0793618900275003</v>
      </c>
      <c r="D91" s="12">
        <f>D86*C87</f>
        <v>0.0561539578777965</v>
      </c>
      <c r="E91" s="12">
        <f>E86*B87</f>
        <v>0.0233345857046927</v>
      </c>
      <c r="F91" s="12">
        <f>E86*C87</f>
        <v>0.0165108132165589</v>
      </c>
      <c r="G91" s="12">
        <f>E86*D87</f>
        <v>0.00584126404732514</v>
      </c>
      <c r="H91" s="12">
        <f>F86*B87</f>
        <v>0.00514575909628322</v>
      </c>
      <c r="I91" s="13">
        <f>F86*C87</f>
        <v>0.00364097603323016</v>
      </c>
      <c r="J91" s="13">
        <f>F86*D87</f>
        <v>0.00128811961719426</v>
      </c>
      <c r="K91" s="13">
        <f>F86*E87+G86*SUM(B87:F87)+H86*SUM(B87:G87)+I86*SUM(B87:H87)+J86*SUM(B87:I87)</f>
        <v>0.00245291439585732</v>
      </c>
      <c r="L91" s="12">
        <f>B86*B87</f>
        <v>0.203996775820251</v>
      </c>
      <c r="M91" s="12">
        <f>C86*C87</f>
        <v>0.127321287125897</v>
      </c>
      <c r="N91" s="12">
        <f>D86*D87</f>
        <v>0.0198663803511275</v>
      </c>
      <c r="O91" s="12">
        <f>E86*E87</f>
        <v>0.00137769776380461</v>
      </c>
      <c r="P91" s="12">
        <f>F86*F87+G86*G87+H86*H87+I86*I87+J86*J87</f>
        <v>5.51069769386208e-5</v>
      </c>
      <c r="Q91" s="13">
        <f>C87*B86</f>
        <v>0.144341652557005</v>
      </c>
      <c r="R91" s="12">
        <f>D87*B86</f>
        <v>0.0510657891016013</v>
      </c>
      <c r="S91" s="12">
        <f>D87*C86</f>
        <v>0.0450442535563166</v>
      </c>
      <c r="T91" s="12">
        <f>E87*B86</f>
        <v>0.012044177918033</v>
      </c>
      <c r="U91" s="12">
        <f>E87*C86</f>
        <v>0.010623962021577</v>
      </c>
      <c r="V91" s="12">
        <f>E87*D86</f>
        <v>0.00468560701295014</v>
      </c>
      <c r="W91" s="12">
        <f>F87*B86</f>
        <v>0.0021305196336918</v>
      </c>
      <c r="X91" s="13">
        <f>F87*C86</f>
        <v>0.00187929469562853</v>
      </c>
      <c r="Y91" s="13">
        <f>F87*D86</f>
        <v>0.000828846751085237</v>
      </c>
      <c r="Z91" s="13">
        <f>1-SUM(B91:Y91)</f>
        <v>0.00106632420214681</v>
      </c>
    </row>
    <row r="92" spans="1:26">
      <c r="A92" s="21" t="s">
        <v>266</v>
      </c>
      <c r="B92" s="22" t="s">
        <v>241</v>
      </c>
      <c r="C92" s="22" t="s">
        <v>242</v>
      </c>
      <c r="D92" s="22" t="s">
        <v>243</v>
      </c>
      <c r="E92" s="23" t="s">
        <v>267</v>
      </c>
      <c r="F92" s="24" t="s">
        <v>245</v>
      </c>
      <c r="G92" s="24" t="s">
        <v>246</v>
      </c>
      <c r="H92" s="24" t="s">
        <v>247</v>
      </c>
      <c r="I92" s="24" t="s">
        <v>248</v>
      </c>
      <c r="J92" s="22" t="s">
        <v>249</v>
      </c>
      <c r="K92" s="22" t="s">
        <v>250</v>
      </c>
      <c r="L92" s="58" t="s">
        <v>251</v>
      </c>
      <c r="M92" s="58" t="s">
        <v>252</v>
      </c>
      <c r="N92" s="58" t="s">
        <v>253</v>
      </c>
      <c r="O92" s="59" t="s">
        <v>254</v>
      </c>
      <c r="P92" s="60" t="s">
        <v>255</v>
      </c>
      <c r="Q92" s="22" t="s">
        <v>256</v>
      </c>
      <c r="R92" s="22" t="s">
        <v>257</v>
      </c>
      <c r="S92" s="22" t="s">
        <v>258</v>
      </c>
      <c r="T92" s="23" t="s">
        <v>259</v>
      </c>
      <c r="U92" s="24" t="s">
        <v>260</v>
      </c>
      <c r="V92" s="24" t="s">
        <v>261</v>
      </c>
      <c r="W92" s="24" t="s">
        <v>262</v>
      </c>
      <c r="X92" s="24" t="s">
        <v>263</v>
      </c>
      <c r="Y92" s="22" t="s">
        <v>264</v>
      </c>
      <c r="Z92" s="22" t="s">
        <v>265</v>
      </c>
    </row>
    <row r="93" ht="24" customHeight="1"/>
    <row r="94" ht="39" customHeight="1" spans="1:10">
      <c r="A94" s="89" t="s">
        <v>270</v>
      </c>
      <c r="B94" s="99">
        <f>SUM(B101:K101)</f>
        <v>0.241237870425922</v>
      </c>
      <c r="C94" s="99">
        <f>SUM(L101:O101)</f>
        <v>0.273234336289049</v>
      </c>
      <c r="D94" s="99">
        <f>SUM(Q101:Z101)</f>
        <v>0.485086218961389</v>
      </c>
      <c r="E94" s="100">
        <f>0.9/B94</f>
        <v>3.730757523315</v>
      </c>
      <c r="F94" s="91">
        <f>0.9/C94</f>
        <v>3.29387591700008</v>
      </c>
      <c r="G94" s="91">
        <f>0.9/D94</f>
        <v>1.8553402772954</v>
      </c>
      <c r="H94" s="4">
        <f>HARMEAN(E104,E94)</f>
        <v>4.53086189327014</v>
      </c>
      <c r="I94" s="4">
        <f>HARMEAN(F104,F94)</f>
        <v>3.12382493884787</v>
      </c>
      <c r="J94" s="4">
        <f>HARMEAN(G104,G94)</f>
        <v>1.75436184843456</v>
      </c>
    </row>
    <row r="95" spans="1:26">
      <c r="A95" s="93" t="s">
        <v>229</v>
      </c>
      <c r="B95" s="20">
        <v>0</v>
      </c>
      <c r="C95" s="20">
        <v>1</v>
      </c>
      <c r="D95" s="20">
        <v>2</v>
      </c>
      <c r="E95" s="20">
        <v>3</v>
      </c>
      <c r="F95" s="20">
        <v>4</v>
      </c>
      <c r="G95" s="20">
        <v>5</v>
      </c>
      <c r="H95" s="20">
        <v>6</v>
      </c>
      <c r="I95" s="20">
        <v>7</v>
      </c>
      <c r="J95" s="20">
        <v>8</v>
      </c>
      <c r="K95" s="20"/>
      <c r="L95" s="20" t="s">
        <v>230</v>
      </c>
      <c r="M95" s="56"/>
      <c r="N95" s="56"/>
      <c r="O95" s="56"/>
      <c r="P95" s="57" t="s">
        <v>232</v>
      </c>
      <c r="Q95" s="57" t="s">
        <v>233</v>
      </c>
      <c r="R95" s="57"/>
      <c r="S95" s="57"/>
      <c r="T95" s="57"/>
      <c r="U95" s="77"/>
      <c r="V95" s="77"/>
      <c r="W95" s="77"/>
      <c r="X95" s="77"/>
      <c r="Y95" s="77"/>
      <c r="Z95" s="77"/>
    </row>
    <row r="96" ht="21" customHeight="1" spans="1:26">
      <c r="A96" s="7" t="s">
        <v>234</v>
      </c>
      <c r="B96" s="8">
        <f t="shared" ref="B96:J96" si="32">POISSON(B95,$L$96,FALSE)</f>
        <v>0.409573344580912</v>
      </c>
      <c r="C96" s="8">
        <f t="shared" si="32"/>
        <v>0.365601257085439</v>
      </c>
      <c r="D96" s="8">
        <f t="shared" si="32"/>
        <v>0.163175022191962</v>
      </c>
      <c r="E96" s="8">
        <f t="shared" si="32"/>
        <v>0.0485521449964544</v>
      </c>
      <c r="F96" s="8">
        <f t="shared" si="32"/>
        <v>0.0108348879875601</v>
      </c>
      <c r="G96" s="8">
        <f t="shared" si="32"/>
        <v>0.00193432933126309</v>
      </c>
      <c r="H96" s="8">
        <f t="shared" si="32"/>
        <v>0.000287776391572651</v>
      </c>
      <c r="I96" s="8">
        <f t="shared" si="32"/>
        <v>3.66972160212679e-5</v>
      </c>
      <c r="J96" s="8">
        <f t="shared" si="32"/>
        <v>4.09467207962461e-6</v>
      </c>
      <c r="K96" s="37" t="s">
        <v>235</v>
      </c>
      <c r="L96" s="38">
        <f>P96</f>
        <v>0.892639284081177</v>
      </c>
      <c r="M96" s="39"/>
      <c r="N96" s="39"/>
      <c r="O96" s="39"/>
      <c r="P96" s="40">
        <f>AB64</f>
        <v>0.892639284081177</v>
      </c>
      <c r="Q96" s="71">
        <f>HLOOKUP(--LARGE(B98:J98,1),B98:J99,2,FALSE)</f>
        <v>0</v>
      </c>
      <c r="R96" s="71">
        <f>HLOOKUP(--LARGE(B98:J98,2),B98:J99,2,FALSE)</f>
        <v>1</v>
      </c>
      <c r="S96" s="71">
        <f>HLOOKUP(--LARGE(B98:J98,3),B98:J99,2,FALSE)</f>
        <v>1</v>
      </c>
      <c r="T96" s="71"/>
      <c r="U96" s="9"/>
      <c r="V96" s="10"/>
      <c r="W96" s="10"/>
      <c r="X96" s="10"/>
      <c r="Y96" s="9"/>
      <c r="Z96" s="9"/>
    </row>
    <row r="97" ht="21" customHeight="1" spans="1:26">
      <c r="A97" s="7" t="s">
        <v>236</v>
      </c>
      <c r="B97" s="8">
        <f t="shared" ref="B97:J97" si="33">POISSON(B95,$L$97,FALSE)</f>
        <v>0.249003755463386</v>
      </c>
      <c r="C97" s="8">
        <f t="shared" si="33"/>
        <v>0.346186758984827</v>
      </c>
      <c r="D97" s="8">
        <f t="shared" si="33"/>
        <v>0.240649527300083</v>
      </c>
      <c r="E97" s="8">
        <f t="shared" si="33"/>
        <v>0.111523993888111</v>
      </c>
      <c r="F97" s="8">
        <f t="shared" si="33"/>
        <v>0.0387625980994952</v>
      </c>
      <c r="G97" s="8">
        <f t="shared" si="33"/>
        <v>0.0107782295740265</v>
      </c>
      <c r="H97" s="8">
        <f t="shared" si="33"/>
        <v>0.00249747261634861</v>
      </c>
      <c r="I97" s="8">
        <f t="shared" si="33"/>
        <v>0.000496029208818334</v>
      </c>
      <c r="J97" s="8">
        <f t="shared" si="33"/>
        <v>8.62028887089799e-5</v>
      </c>
      <c r="K97" s="37" t="s">
        <v>237</v>
      </c>
      <c r="L97" s="38">
        <f>P97</f>
        <v>1.39028730044889</v>
      </c>
      <c r="M97" s="44"/>
      <c r="N97" s="48"/>
      <c r="O97" s="43"/>
      <c r="P97" s="40">
        <f>AB65</f>
        <v>1.39028730044889</v>
      </c>
      <c r="Q97" s="43" t="s">
        <v>238</v>
      </c>
      <c r="R97" s="43"/>
      <c r="S97" s="43"/>
      <c r="T97" s="43"/>
      <c r="U97" s="9"/>
      <c r="V97" s="9"/>
      <c r="W97" s="9"/>
      <c r="X97" s="9"/>
      <c r="Y97" s="9"/>
      <c r="Z97" s="9"/>
    </row>
    <row r="98" ht="21" customHeight="1" spans="1:26">
      <c r="A98" s="9" t="s">
        <v>239</v>
      </c>
      <c r="B98" s="8">
        <f t="shared" ref="B98:J98" si="34">POISSON(B95,$M$75,FALSE)</f>
        <v>1</v>
      </c>
      <c r="C98" s="8">
        <f t="shared" si="34"/>
        <v>0</v>
      </c>
      <c r="D98" s="8">
        <f t="shared" si="34"/>
        <v>0</v>
      </c>
      <c r="E98" s="8">
        <f t="shared" si="34"/>
        <v>0</v>
      </c>
      <c r="F98" s="8">
        <f t="shared" si="34"/>
        <v>0</v>
      </c>
      <c r="G98" s="8">
        <f t="shared" si="34"/>
        <v>0</v>
      </c>
      <c r="H98" s="8">
        <f t="shared" si="34"/>
        <v>0</v>
      </c>
      <c r="I98" s="8">
        <f t="shared" si="34"/>
        <v>0</v>
      </c>
      <c r="J98" s="8">
        <f t="shared" si="34"/>
        <v>0</v>
      </c>
      <c r="K98" s="37" t="s">
        <v>240</v>
      </c>
      <c r="L98" s="44"/>
      <c r="M98" s="45">
        <f>L96+L97</f>
        <v>2.28292658453007</v>
      </c>
      <c r="N98" s="46"/>
      <c r="O98" s="43"/>
      <c r="P98" s="43" t="s">
        <v>77</v>
      </c>
      <c r="Q98" s="74" t="str">
        <f>HLOOKUP(--LARGE($B$91:$Z$91,1),$B$91:$Z$92,2,FALSE)</f>
        <v>0:0</v>
      </c>
      <c r="R98" s="74" t="str">
        <f>HLOOKUP(--LARGE($B101:$Z101,2),$B101:$Z102,2,FALSE)</f>
        <v>1:1</v>
      </c>
      <c r="S98" s="74" t="str">
        <f>HLOOKUP(--LARGE($B101:$Z101,3),$B101:$Z102,2,FALSE)</f>
        <v>0:0</v>
      </c>
      <c r="T98" s="74" t="str">
        <f>HLOOKUP(--LARGE($B101:$Z101,4),$B101:$Z102,2,FALSE)</f>
        <v>0:2</v>
      </c>
      <c r="U98" s="9"/>
      <c r="V98" s="9"/>
      <c r="W98" s="9"/>
      <c r="X98" s="9"/>
      <c r="Y98" s="9"/>
      <c r="Z98" s="9"/>
    </row>
    <row r="99" spans="1:26">
      <c r="A99" s="10" t="s">
        <v>229</v>
      </c>
      <c r="B99" s="11">
        <v>0</v>
      </c>
      <c r="C99" s="11">
        <v>1</v>
      </c>
      <c r="D99" s="11">
        <v>2</v>
      </c>
      <c r="E99" s="11">
        <v>3</v>
      </c>
      <c r="F99" s="11">
        <v>4</v>
      </c>
      <c r="G99" s="11">
        <v>5</v>
      </c>
      <c r="H99" s="11">
        <v>6</v>
      </c>
      <c r="I99" s="11">
        <v>7</v>
      </c>
      <c r="J99" s="11">
        <v>8</v>
      </c>
      <c r="K99" s="47"/>
      <c r="L99" s="44"/>
      <c r="M99" s="48"/>
      <c r="N99" s="46"/>
      <c r="O99" s="43"/>
      <c r="P99" s="43"/>
      <c r="Q99" s="75"/>
      <c r="R99" s="75"/>
      <c r="S99" s="75"/>
      <c r="T99" s="75"/>
      <c r="U99" s="9"/>
      <c r="V99" s="9"/>
      <c r="W99" s="9"/>
      <c r="X99" s="9"/>
      <c r="Y99" s="9"/>
      <c r="Z99" s="9"/>
    </row>
    <row r="100" spans="1:26">
      <c r="A100" s="94" t="s">
        <v>77</v>
      </c>
      <c r="B100" s="95" t="s">
        <v>241</v>
      </c>
      <c r="C100" s="95" t="s">
        <v>242</v>
      </c>
      <c r="D100" s="95" t="s">
        <v>243</v>
      </c>
      <c r="E100" s="96" t="s">
        <v>244</v>
      </c>
      <c r="F100" s="97" t="s">
        <v>245</v>
      </c>
      <c r="G100" s="97" t="s">
        <v>246</v>
      </c>
      <c r="H100" s="97" t="s">
        <v>247</v>
      </c>
      <c r="I100" s="97" t="s">
        <v>248</v>
      </c>
      <c r="J100" s="95" t="s">
        <v>249</v>
      </c>
      <c r="K100" s="95" t="s">
        <v>250</v>
      </c>
      <c r="L100" s="105" t="s">
        <v>251</v>
      </c>
      <c r="M100" s="105" t="s">
        <v>252</v>
      </c>
      <c r="N100" s="105" t="s">
        <v>253</v>
      </c>
      <c r="O100" s="106" t="s">
        <v>254</v>
      </c>
      <c r="P100" s="107" t="s">
        <v>255</v>
      </c>
      <c r="Q100" s="95" t="s">
        <v>256</v>
      </c>
      <c r="R100" s="95" t="s">
        <v>257</v>
      </c>
      <c r="S100" s="95" t="s">
        <v>258</v>
      </c>
      <c r="T100" s="96" t="s">
        <v>259</v>
      </c>
      <c r="U100" s="97" t="s">
        <v>260</v>
      </c>
      <c r="V100" s="97" t="s">
        <v>261</v>
      </c>
      <c r="W100" s="97" t="s">
        <v>262</v>
      </c>
      <c r="X100" s="97" t="s">
        <v>263</v>
      </c>
      <c r="Y100" s="95" t="s">
        <v>264</v>
      </c>
      <c r="Z100" s="95" t="s">
        <v>265</v>
      </c>
    </row>
    <row r="101" spans="1:26">
      <c r="A101" s="12" t="s">
        <v>266</v>
      </c>
      <c r="B101" s="13">
        <f>C96*B97</f>
        <v>0.0910360860164092</v>
      </c>
      <c r="C101" s="12">
        <f>D96*B97</f>
        <v>0.04063119332362</v>
      </c>
      <c r="D101" s="12">
        <f>D96*C97</f>
        <v>0.0564890320799126</v>
      </c>
      <c r="E101" s="12">
        <f>E96*B97</f>
        <v>0.01208966643992</v>
      </c>
      <c r="F101" s="12">
        <f>E96*C97</f>
        <v>0.0168081097180839</v>
      </c>
      <c r="G101" s="12">
        <f>E96*D97</f>
        <v>0.0116840507428018</v>
      </c>
      <c r="H101" s="12">
        <f>F96*B97</f>
        <v>0.00269792779892761</v>
      </c>
      <c r="I101" s="13">
        <f>F96*C97</f>
        <v>0.00375089475637708</v>
      </c>
      <c r="J101" s="13">
        <f>F96*D97</f>
        <v>0.00260741067255569</v>
      </c>
      <c r="K101" s="13">
        <f>F96*E97+G96*SUM(B97:F97)+H96*SUM(B97:G97)+I96*SUM(B97:H97)+J96*SUM(B97:I97)</f>
        <v>0.0034434988773145</v>
      </c>
      <c r="L101" s="12">
        <f>B96*B97</f>
        <v>0.101985300938347</v>
      </c>
      <c r="M101" s="12">
        <f>C96*C97</f>
        <v>0.126566314271187</v>
      </c>
      <c r="N101" s="12">
        <f>D96*D97</f>
        <v>0.0392679919576762</v>
      </c>
      <c r="O101" s="12">
        <f>E96*E97</f>
        <v>0.00541472912183927</v>
      </c>
      <c r="P101" s="12">
        <f>F96*F97+G96*G97+H96*H97+I96*I97+J96*J97</f>
        <v>0.000441574323640143</v>
      </c>
      <c r="Q101" s="13">
        <f>C97*B96</f>
        <v>0.141788868727042</v>
      </c>
      <c r="R101" s="12">
        <f>D97*B96</f>
        <v>0.0985636317681104</v>
      </c>
      <c r="S101" s="12">
        <f>D97*C96</f>
        <v>0.0879817696979269</v>
      </c>
      <c r="T101" s="12">
        <f>E97*B96</f>
        <v>0.0456772551777749</v>
      </c>
      <c r="U101" s="12">
        <f>E97*C96</f>
        <v>0.0407733123606822</v>
      </c>
      <c r="V101" s="12">
        <f>E97*D96</f>
        <v>0.0181979301776288</v>
      </c>
      <c r="W101" s="12">
        <f>F97*B96</f>
        <v>0.0158761269482559</v>
      </c>
      <c r="X101" s="13">
        <f>F97*C96</f>
        <v>0.0141716545930731</v>
      </c>
      <c r="Y101" s="13">
        <f>F97*D96</f>
        <v>0.00632508780510323</v>
      </c>
      <c r="Z101" s="13">
        <f>1-SUM(B101:Y101)</f>
        <v>0.0157305817057914</v>
      </c>
    </row>
    <row r="102" spans="1:26">
      <c r="A102" s="21" t="s">
        <v>266</v>
      </c>
      <c r="B102" s="22" t="s">
        <v>241</v>
      </c>
      <c r="C102" s="22" t="s">
        <v>242</v>
      </c>
      <c r="D102" s="22" t="s">
        <v>243</v>
      </c>
      <c r="E102" s="23" t="s">
        <v>267</v>
      </c>
      <c r="F102" s="24" t="s">
        <v>245</v>
      </c>
      <c r="G102" s="24" t="s">
        <v>246</v>
      </c>
      <c r="H102" s="24" t="s">
        <v>247</v>
      </c>
      <c r="I102" s="24" t="s">
        <v>248</v>
      </c>
      <c r="J102" s="22" t="s">
        <v>249</v>
      </c>
      <c r="K102" s="22" t="s">
        <v>250</v>
      </c>
      <c r="L102" s="58" t="s">
        <v>251</v>
      </c>
      <c r="M102" s="58" t="s">
        <v>252</v>
      </c>
      <c r="N102" s="58" t="s">
        <v>253</v>
      </c>
      <c r="O102" s="59" t="s">
        <v>254</v>
      </c>
      <c r="P102" s="60" t="s">
        <v>255</v>
      </c>
      <c r="Q102" s="22" t="s">
        <v>256</v>
      </c>
      <c r="R102" s="22" t="s">
        <v>257</v>
      </c>
      <c r="S102" s="22" t="s">
        <v>258</v>
      </c>
      <c r="T102" s="23" t="s">
        <v>259</v>
      </c>
      <c r="U102" s="24" t="s">
        <v>260</v>
      </c>
      <c r="V102" s="24" t="s">
        <v>261</v>
      </c>
      <c r="W102" s="24" t="s">
        <v>262</v>
      </c>
      <c r="X102" s="24" t="s">
        <v>263</v>
      </c>
      <c r="Y102" s="22" t="s">
        <v>264</v>
      </c>
      <c r="Z102" s="22" t="s">
        <v>265</v>
      </c>
    </row>
    <row r="103" ht="30" customHeight="1"/>
    <row r="104" spans="1:7">
      <c r="A104" s="89" t="s">
        <v>270</v>
      </c>
      <c r="B104" s="99">
        <f>SUM(B111:K111)</f>
        <v>0.156037535976027</v>
      </c>
      <c r="C104" s="99">
        <f>SUM(L111:O111)</f>
        <v>0.3029823324542</v>
      </c>
      <c r="D104" s="99">
        <f>SUM(Q111:Z111)</f>
        <v>0.54092788503099</v>
      </c>
      <c r="E104" s="100">
        <f>0.9/B104</f>
        <v>5.76784293837011</v>
      </c>
      <c r="F104" s="91">
        <f>0.9/C104</f>
        <v>2.9704702340558</v>
      </c>
      <c r="G104" s="91">
        <f>0.9/D104</f>
        <v>1.66380773649419</v>
      </c>
    </row>
    <row r="105" spans="1:26">
      <c r="A105" s="93" t="s">
        <v>229</v>
      </c>
      <c r="B105" s="20">
        <v>0</v>
      </c>
      <c r="C105" s="20">
        <v>1</v>
      </c>
      <c r="D105" s="20">
        <v>2</v>
      </c>
      <c r="E105" s="20">
        <v>3</v>
      </c>
      <c r="F105" s="20">
        <v>4</v>
      </c>
      <c r="G105" s="20">
        <v>5</v>
      </c>
      <c r="H105" s="20">
        <v>6</v>
      </c>
      <c r="I105" s="20">
        <v>7</v>
      </c>
      <c r="J105" s="20">
        <v>8</v>
      </c>
      <c r="K105" s="20"/>
      <c r="L105" s="20" t="s">
        <v>230</v>
      </c>
      <c r="M105" s="56"/>
      <c r="N105" s="56"/>
      <c r="O105" s="56"/>
      <c r="P105" s="57" t="s">
        <v>232</v>
      </c>
      <c r="Q105" s="57" t="s">
        <v>233</v>
      </c>
      <c r="R105" s="57"/>
      <c r="S105" s="57"/>
      <c r="T105" s="57"/>
      <c r="U105" s="77"/>
      <c r="V105" s="77"/>
      <c r="W105" s="77"/>
      <c r="X105" s="77"/>
      <c r="Y105" s="77"/>
      <c r="Z105" s="77"/>
    </row>
    <row r="106" ht="21" customHeight="1" spans="1:26">
      <c r="A106" s="7" t="s">
        <v>234</v>
      </c>
      <c r="B106" s="8">
        <f t="shared" ref="B106:J106" si="35">POISSON(B105,$L$106,FALSE)</f>
        <v>0.594849852996943</v>
      </c>
      <c r="C106" s="8">
        <f t="shared" si="35"/>
        <v>0.308992527347442</v>
      </c>
      <c r="D106" s="8">
        <f t="shared" si="35"/>
        <v>0.0802525052965343</v>
      </c>
      <c r="E106" s="8">
        <f t="shared" si="35"/>
        <v>0.0138956210616886</v>
      </c>
      <c r="F106" s="8">
        <f t="shared" si="35"/>
        <v>0.00180450707404629</v>
      </c>
      <c r="G106" s="8">
        <f t="shared" si="35"/>
        <v>0.000187468887692157</v>
      </c>
      <c r="H106" s="8">
        <f t="shared" si="35"/>
        <v>1.62300018834364e-5</v>
      </c>
      <c r="I106" s="8">
        <f t="shared" si="35"/>
        <v>1.20437338107872e-6</v>
      </c>
      <c r="J106" s="8">
        <f t="shared" si="35"/>
        <v>7.82009050297707e-8</v>
      </c>
      <c r="K106" s="37" t="s">
        <v>235</v>
      </c>
      <c r="L106" s="38">
        <f>P106</f>
        <v>0.519446253185894</v>
      </c>
      <c r="M106" s="39"/>
      <c r="N106" s="39"/>
      <c r="O106" s="39"/>
      <c r="P106" s="40">
        <f>AB67</f>
        <v>0.519446253185894</v>
      </c>
      <c r="Q106" s="71">
        <f>HLOOKUP(--LARGE(B108:J108,1),B108:J109,2,FALSE)</f>
        <v>0</v>
      </c>
      <c r="R106" s="71">
        <f>HLOOKUP(--LARGE(B108:J108,2),B108:J109,2,FALSE)</f>
        <v>1</v>
      </c>
      <c r="S106" s="71">
        <f>HLOOKUP(--LARGE(B108:J108,3),B108:J109,2,FALSE)</f>
        <v>1</v>
      </c>
      <c r="T106" s="71"/>
      <c r="U106" s="9"/>
      <c r="V106" s="10"/>
      <c r="W106" s="10"/>
      <c r="X106" s="10"/>
      <c r="Y106" s="9"/>
      <c r="Z106" s="9"/>
    </row>
    <row r="107" ht="21" customHeight="1" spans="1:26">
      <c r="A107" s="7" t="s">
        <v>236</v>
      </c>
      <c r="B107" s="8">
        <f t="shared" ref="B107:J107" si="36">POISSON(B105,$L$107,FALSE)</f>
        <v>0.290717349935201</v>
      </c>
      <c r="C107" s="8">
        <f t="shared" si="36"/>
        <v>0.359153315899242</v>
      </c>
      <c r="D107" s="8">
        <f t="shared" si="36"/>
        <v>0.221849683808297</v>
      </c>
      <c r="E107" s="8">
        <f t="shared" si="36"/>
        <v>0.0913579800548632</v>
      </c>
      <c r="F107" s="8">
        <f t="shared" si="36"/>
        <v>0.028215998699316</v>
      </c>
      <c r="G107" s="8">
        <f t="shared" si="36"/>
        <v>0.00697163034578215</v>
      </c>
      <c r="H107" s="8">
        <f t="shared" si="36"/>
        <v>0.00143546309182529</v>
      </c>
      <c r="I107" s="8">
        <f t="shared" si="36"/>
        <v>0.000253339506271517</v>
      </c>
      <c r="J107" s="8">
        <f t="shared" si="36"/>
        <v>3.91220732723609e-5</v>
      </c>
      <c r="K107" s="37" t="s">
        <v>237</v>
      </c>
      <c r="L107" s="38">
        <f>P107</f>
        <v>1.23540378989866</v>
      </c>
      <c r="M107" s="44"/>
      <c r="N107" s="48"/>
      <c r="O107" s="43"/>
      <c r="P107" s="40">
        <f>AB66</f>
        <v>1.23540378989866</v>
      </c>
      <c r="Q107" s="43" t="s">
        <v>238</v>
      </c>
      <c r="R107" s="43"/>
      <c r="S107" s="43"/>
      <c r="T107" s="43"/>
      <c r="U107" s="9"/>
      <c r="V107" s="9"/>
      <c r="W107" s="9"/>
      <c r="X107" s="9"/>
      <c r="Y107" s="9"/>
      <c r="Z107" s="9"/>
    </row>
    <row r="108" ht="21" customHeight="1" spans="1:26">
      <c r="A108" s="9" t="s">
        <v>239</v>
      </c>
      <c r="B108" s="8">
        <f t="shared" ref="B108:J108" si="37">POISSON(B105,$M$75,FALSE)</f>
        <v>1</v>
      </c>
      <c r="C108" s="8">
        <f t="shared" si="37"/>
        <v>0</v>
      </c>
      <c r="D108" s="8">
        <f t="shared" si="37"/>
        <v>0</v>
      </c>
      <c r="E108" s="8">
        <f t="shared" si="37"/>
        <v>0</v>
      </c>
      <c r="F108" s="8">
        <f t="shared" si="37"/>
        <v>0</v>
      </c>
      <c r="G108" s="8">
        <f t="shared" si="37"/>
        <v>0</v>
      </c>
      <c r="H108" s="8">
        <f t="shared" si="37"/>
        <v>0</v>
      </c>
      <c r="I108" s="8">
        <f t="shared" si="37"/>
        <v>0</v>
      </c>
      <c r="J108" s="8">
        <f t="shared" si="37"/>
        <v>0</v>
      </c>
      <c r="K108" s="37" t="s">
        <v>240</v>
      </c>
      <c r="L108" s="44"/>
      <c r="M108" s="45">
        <f>L106+L107</f>
        <v>1.75485004308455</v>
      </c>
      <c r="N108" s="46"/>
      <c r="O108" s="43"/>
      <c r="P108" s="43" t="s">
        <v>77</v>
      </c>
      <c r="Q108" s="74" t="str">
        <f>HLOOKUP(--LARGE($B$91:$Z$91,1),$B$91:$Z$92,2,FALSE)</f>
        <v>0:0</v>
      </c>
      <c r="R108" s="74" t="str">
        <f>HLOOKUP(--LARGE($B111:$Z111,2),$B111:$Z112,2,FALSE)</f>
        <v>0:0</v>
      </c>
      <c r="S108" s="74" t="str">
        <f>HLOOKUP(--LARGE($B111:$Z111,3),$B111:$Z112,2,FALSE)</f>
        <v>0:2</v>
      </c>
      <c r="T108" s="74" t="str">
        <f>HLOOKUP(--LARGE($B111:$Z111,4),$B111:$Z112,2,FALSE)</f>
        <v>1:1</v>
      </c>
      <c r="U108" s="9"/>
      <c r="V108" s="9"/>
      <c r="W108" s="9"/>
      <c r="X108" s="9"/>
      <c r="Y108" s="9"/>
      <c r="Z108" s="9"/>
    </row>
    <row r="109" spans="1:26">
      <c r="A109" s="10" t="s">
        <v>229</v>
      </c>
      <c r="B109" s="11">
        <v>0</v>
      </c>
      <c r="C109" s="11">
        <v>1</v>
      </c>
      <c r="D109" s="11">
        <v>2</v>
      </c>
      <c r="E109" s="11">
        <v>3</v>
      </c>
      <c r="F109" s="11">
        <v>4</v>
      </c>
      <c r="G109" s="11">
        <v>5</v>
      </c>
      <c r="H109" s="11">
        <v>6</v>
      </c>
      <c r="I109" s="11">
        <v>7</v>
      </c>
      <c r="J109" s="11">
        <v>8</v>
      </c>
      <c r="K109" s="47"/>
      <c r="L109" s="44"/>
      <c r="M109" s="48"/>
      <c r="N109" s="46"/>
      <c r="O109" s="43"/>
      <c r="P109" s="43"/>
      <c r="Q109" s="75"/>
      <c r="R109" s="75"/>
      <c r="S109" s="75"/>
      <c r="T109" s="75"/>
      <c r="U109" s="9"/>
      <c r="V109" s="9"/>
      <c r="W109" s="9"/>
      <c r="X109" s="9"/>
      <c r="Y109" s="9"/>
      <c r="Z109" s="9"/>
    </row>
    <row r="110" spans="1:26">
      <c r="A110" s="94" t="s">
        <v>77</v>
      </c>
      <c r="B110" s="95" t="s">
        <v>241</v>
      </c>
      <c r="C110" s="95" t="s">
        <v>242</v>
      </c>
      <c r="D110" s="95" t="s">
        <v>243</v>
      </c>
      <c r="E110" s="96" t="s">
        <v>244</v>
      </c>
      <c r="F110" s="97" t="s">
        <v>245</v>
      </c>
      <c r="G110" s="97" t="s">
        <v>246</v>
      </c>
      <c r="H110" s="97" t="s">
        <v>247</v>
      </c>
      <c r="I110" s="97" t="s">
        <v>248</v>
      </c>
      <c r="J110" s="95" t="s">
        <v>249</v>
      </c>
      <c r="K110" s="95" t="s">
        <v>250</v>
      </c>
      <c r="L110" s="105" t="s">
        <v>251</v>
      </c>
      <c r="M110" s="105" t="s">
        <v>252</v>
      </c>
      <c r="N110" s="105" t="s">
        <v>253</v>
      </c>
      <c r="O110" s="106" t="s">
        <v>254</v>
      </c>
      <c r="P110" s="107" t="s">
        <v>255</v>
      </c>
      <c r="Q110" s="95" t="s">
        <v>256</v>
      </c>
      <c r="R110" s="95" t="s">
        <v>257</v>
      </c>
      <c r="S110" s="95" t="s">
        <v>258</v>
      </c>
      <c r="T110" s="96" t="s">
        <v>259</v>
      </c>
      <c r="U110" s="97" t="s">
        <v>260</v>
      </c>
      <c r="V110" s="97" t="s">
        <v>261</v>
      </c>
      <c r="W110" s="97" t="s">
        <v>262</v>
      </c>
      <c r="X110" s="97" t="s">
        <v>263</v>
      </c>
      <c r="Y110" s="95" t="s">
        <v>264</v>
      </c>
      <c r="Z110" s="95" t="s">
        <v>265</v>
      </c>
    </row>
    <row r="111" spans="1:26">
      <c r="A111" s="12" t="s">
        <v>266</v>
      </c>
      <c r="B111" s="13">
        <f>C106*B107</f>
        <v>0.0898294887002284</v>
      </c>
      <c r="C111" s="12">
        <f>D106*B107</f>
        <v>0.0233307956654691</v>
      </c>
      <c r="D111" s="12">
        <f>D106*C107</f>
        <v>0.0288229533864718</v>
      </c>
      <c r="E111" s="12">
        <f>E106*B107</f>
        <v>0.00403969813075788</v>
      </c>
      <c r="F111" s="12">
        <f>E106*C107</f>
        <v>0.00499065838078481</v>
      </c>
      <c r="G111" s="12">
        <f>E106*D107</f>
        <v>0.00308273913885553</v>
      </c>
      <c r="H111" s="12">
        <f>F106*B107</f>
        <v>0.000524601514506059</v>
      </c>
      <c r="I111" s="13">
        <f>F106*C107</f>
        <v>0.000648094699207363</v>
      </c>
      <c r="J111" s="13">
        <f>F106*D107</f>
        <v>0.000400329323807004</v>
      </c>
      <c r="K111" s="13">
        <f>F106*E107+G106*SUM(B107:F107)+H106*SUM(B107:G107)+I106*SUM(B107:H107)+J106*SUM(B107:I107)</f>
        <v>0.000368177035939068</v>
      </c>
      <c r="L111" s="12">
        <f>B106*B107</f>
        <v>0.172933172872615</v>
      </c>
      <c r="M111" s="12">
        <f>C106*C107</f>
        <v>0.110975690784921</v>
      </c>
      <c r="N111" s="12">
        <f>D106*D107</f>
        <v>0.0178039929248598</v>
      </c>
      <c r="O111" s="12">
        <f>E106*E107</f>
        <v>0.00126947587180369</v>
      </c>
      <c r="P111" s="12">
        <f>F106*F107+G106*G107+H106*H107+I106*I107+J106*J107</f>
        <v>5.22465387839445e-5</v>
      </c>
      <c r="Q111" s="13">
        <f>C107*B106</f>
        <v>0.213642297166029</v>
      </c>
      <c r="R111" s="12">
        <f>D107*B106</f>
        <v>0.131967251800784</v>
      </c>
      <c r="S111" s="12">
        <f>D107*C106</f>
        <v>0.0685498944911566</v>
      </c>
      <c r="T111" s="12">
        <f>E107*B106</f>
        <v>0.0543442810057331</v>
      </c>
      <c r="U111" s="12">
        <f>E107*C106</f>
        <v>0.0282289331505094</v>
      </c>
      <c r="V111" s="12">
        <f>E107*D106</f>
        <v>0.00733170677823359</v>
      </c>
      <c r="W111" s="12">
        <f>F107*B106</f>
        <v>0.0167842826784501</v>
      </c>
      <c r="X111" s="13">
        <f>F107*C106</f>
        <v>0.0087185327497338</v>
      </c>
      <c r="Y111" s="13">
        <f>F107*D106</f>
        <v>0.00226440458506387</v>
      </c>
      <c r="Z111" s="13">
        <f>1-SUM(B111:Y111)</f>
        <v>0.00909630062529643</v>
      </c>
    </row>
    <row r="112" spans="1:26">
      <c r="A112" s="21" t="s">
        <v>266</v>
      </c>
      <c r="B112" s="22" t="s">
        <v>241</v>
      </c>
      <c r="C112" s="22" t="s">
        <v>242</v>
      </c>
      <c r="D112" s="22" t="s">
        <v>243</v>
      </c>
      <c r="E112" s="23" t="s">
        <v>267</v>
      </c>
      <c r="F112" s="24" t="s">
        <v>245</v>
      </c>
      <c r="G112" s="24" t="s">
        <v>246</v>
      </c>
      <c r="H112" s="24" t="s">
        <v>247</v>
      </c>
      <c r="I112" s="24" t="s">
        <v>248</v>
      </c>
      <c r="J112" s="22" t="s">
        <v>249</v>
      </c>
      <c r="K112" s="22" t="s">
        <v>250</v>
      </c>
      <c r="L112" s="58" t="s">
        <v>251</v>
      </c>
      <c r="M112" s="58" t="s">
        <v>252</v>
      </c>
      <c r="N112" s="58" t="s">
        <v>253</v>
      </c>
      <c r="O112" s="59" t="s">
        <v>254</v>
      </c>
      <c r="P112" s="60" t="s">
        <v>255</v>
      </c>
      <c r="Q112" s="22" t="s">
        <v>256</v>
      </c>
      <c r="R112" s="22" t="s">
        <v>257</v>
      </c>
      <c r="S112" s="22" t="s">
        <v>258</v>
      </c>
      <c r="T112" s="23" t="s">
        <v>259</v>
      </c>
      <c r="U112" s="24" t="s">
        <v>260</v>
      </c>
      <c r="V112" s="24" t="s">
        <v>261</v>
      </c>
      <c r="W112" s="24" t="s">
        <v>262</v>
      </c>
      <c r="X112" s="24" t="s">
        <v>263</v>
      </c>
      <c r="Y112" s="22" t="s">
        <v>264</v>
      </c>
      <c r="Z112" s="22" t="s">
        <v>265</v>
      </c>
    </row>
    <row r="113" ht="32.25" customHeight="1"/>
    <row r="114" ht="47.25" customHeight="1" spans="1:10">
      <c r="A114" s="89" t="s">
        <v>269</v>
      </c>
      <c r="B114" s="99">
        <f>SUM(B121:K121)</f>
        <v>0.308297767850391</v>
      </c>
      <c r="C114" s="99">
        <f>SUM(L121:O121)</f>
        <v>0.386288455250433</v>
      </c>
      <c r="D114" s="99">
        <f>SUM(Q121:Z121)</f>
        <v>0.305390854326852</v>
      </c>
      <c r="E114" s="100">
        <f>0.9/B114</f>
        <v>2.9192556477955</v>
      </c>
      <c r="F114" s="91">
        <f>0.9/C114</f>
        <v>2.3298651247978</v>
      </c>
      <c r="G114" s="91">
        <f>0.9/D114</f>
        <v>2.947043067101</v>
      </c>
      <c r="H114" s="4">
        <f>HARMEAN(E124,E114)</f>
        <v>2.1759420473898</v>
      </c>
      <c r="I114" s="4">
        <f>HARMEAN(F124,F114)</f>
        <v>2.81971462463697</v>
      </c>
      <c r="J114" s="4">
        <f>HARMEAN(G124,G114)</f>
        <v>3.37304866136951</v>
      </c>
    </row>
    <row r="115" spans="1:26">
      <c r="A115" s="93" t="s">
        <v>229</v>
      </c>
      <c r="B115" s="20">
        <v>0</v>
      </c>
      <c r="C115" s="20">
        <v>1</v>
      </c>
      <c r="D115" s="20">
        <v>2</v>
      </c>
      <c r="E115" s="20">
        <v>3</v>
      </c>
      <c r="F115" s="20">
        <v>4</v>
      </c>
      <c r="G115" s="20">
        <v>5</v>
      </c>
      <c r="H115" s="20">
        <v>6</v>
      </c>
      <c r="I115" s="20">
        <v>7</v>
      </c>
      <c r="J115" s="20">
        <v>8</v>
      </c>
      <c r="K115" s="20"/>
      <c r="L115" s="20" t="s">
        <v>230</v>
      </c>
      <c r="M115" s="56"/>
      <c r="N115" s="56"/>
      <c r="O115" s="56"/>
      <c r="P115" s="57" t="s">
        <v>232</v>
      </c>
      <c r="Q115" s="57" t="s">
        <v>233</v>
      </c>
      <c r="R115" s="57"/>
      <c r="S115" s="57"/>
      <c r="T115" s="57"/>
      <c r="U115" s="77"/>
      <c r="V115" s="77"/>
      <c r="W115" s="77"/>
      <c r="X115" s="77"/>
      <c r="Y115" s="77"/>
      <c r="Z115" s="77"/>
    </row>
    <row r="116" ht="21" customHeight="1" spans="1:26">
      <c r="A116" s="7" t="s">
        <v>234</v>
      </c>
      <c r="B116" s="8">
        <f t="shared" ref="B116:J116" si="38">POISSON(B115,$L$116,FALSE)</f>
        <v>0.500259601862726</v>
      </c>
      <c r="C116" s="8">
        <f t="shared" si="38"/>
        <v>0.346493863334997</v>
      </c>
      <c r="D116" s="8">
        <f t="shared" si="38"/>
        <v>0.119995695116868</v>
      </c>
      <c r="E116" s="8">
        <f t="shared" si="38"/>
        <v>0.0277041305686064</v>
      </c>
      <c r="F116" s="8">
        <f t="shared" si="38"/>
        <v>0.00479716490963412</v>
      </c>
      <c r="G116" s="8">
        <f t="shared" si="38"/>
        <v>0.000664530254453894</v>
      </c>
      <c r="H116" s="8">
        <f t="shared" si="38"/>
        <v>7.6712055871044e-5</v>
      </c>
      <c r="I116" s="8">
        <f t="shared" si="38"/>
        <v>7.59041805613271e-6</v>
      </c>
      <c r="J116" s="8">
        <f t="shared" si="38"/>
        <v>6.57167115534654e-7</v>
      </c>
      <c r="K116" s="37" t="s">
        <v>235</v>
      </c>
      <c r="L116" s="38">
        <f>P116</f>
        <v>0.692628111574111</v>
      </c>
      <c r="M116" s="39"/>
      <c r="N116" s="39"/>
      <c r="O116" s="39"/>
      <c r="P116" s="40">
        <f>AB68</f>
        <v>0.692628111574111</v>
      </c>
      <c r="Q116" s="71">
        <f>HLOOKUP(--LARGE(B118:J118,1),B118:J119,2,FALSE)</f>
        <v>0</v>
      </c>
      <c r="R116" s="71">
        <f>HLOOKUP(--LARGE(B118:J118,2),B118:J119,2,FALSE)</f>
        <v>1</v>
      </c>
      <c r="S116" s="71">
        <f>HLOOKUP(--LARGE(B118:J118,3),B118:J119,2,FALSE)</f>
        <v>1</v>
      </c>
      <c r="T116" s="71"/>
      <c r="U116" s="9"/>
      <c r="V116" s="10"/>
      <c r="W116" s="10"/>
      <c r="X116" s="10"/>
      <c r="Y116" s="9"/>
      <c r="Z116" s="9"/>
    </row>
    <row r="117" ht="21" customHeight="1" spans="1:26">
      <c r="A117" s="7" t="s">
        <v>236</v>
      </c>
      <c r="B117" s="8">
        <f t="shared" ref="B117:J117" si="39">POISSON(B115,$L$117,FALSE)</f>
        <v>0.502670564669241</v>
      </c>
      <c r="C117" s="8">
        <f t="shared" si="39"/>
        <v>0.34574700072976</v>
      </c>
      <c r="D117" s="8">
        <f t="shared" si="39"/>
        <v>0.118905896740028</v>
      </c>
      <c r="E117" s="8">
        <f t="shared" si="39"/>
        <v>0.0272619617807398</v>
      </c>
      <c r="F117" s="8">
        <f t="shared" si="39"/>
        <v>0.0046878324404684</v>
      </c>
      <c r="G117" s="8">
        <f t="shared" si="39"/>
        <v>0.000644877229794475</v>
      </c>
      <c r="H117" s="8">
        <f t="shared" si="39"/>
        <v>7.39266044574898e-5</v>
      </c>
      <c r="I117" s="8">
        <f t="shared" si="39"/>
        <v>7.26403094699691e-6</v>
      </c>
      <c r="J117" s="8">
        <f t="shared" si="39"/>
        <v>6.24543460881016e-7</v>
      </c>
      <c r="K117" s="37" t="s">
        <v>237</v>
      </c>
      <c r="L117" s="38">
        <f>P117</f>
        <v>0.687820264465382</v>
      </c>
      <c r="M117" s="44"/>
      <c r="N117" s="48"/>
      <c r="O117" s="43"/>
      <c r="P117" s="40">
        <f>AB69</f>
        <v>0.687820264465382</v>
      </c>
      <c r="Q117" s="43" t="s">
        <v>238</v>
      </c>
      <c r="R117" s="43"/>
      <c r="S117" s="43"/>
      <c r="T117" s="43"/>
      <c r="U117" s="9"/>
      <c r="V117" s="9"/>
      <c r="W117" s="9"/>
      <c r="X117" s="9"/>
      <c r="Y117" s="9"/>
      <c r="Z117" s="9"/>
    </row>
    <row r="118" ht="21" customHeight="1" spans="1:26">
      <c r="A118" s="9" t="s">
        <v>239</v>
      </c>
      <c r="B118" s="8">
        <f t="shared" ref="B118:J118" si="40">POISSON(B115,$M$75,FALSE)</f>
        <v>1</v>
      </c>
      <c r="C118" s="8">
        <f t="shared" si="40"/>
        <v>0</v>
      </c>
      <c r="D118" s="8">
        <f t="shared" si="40"/>
        <v>0</v>
      </c>
      <c r="E118" s="8">
        <f t="shared" si="40"/>
        <v>0</v>
      </c>
      <c r="F118" s="8">
        <f t="shared" si="40"/>
        <v>0</v>
      </c>
      <c r="G118" s="8">
        <f t="shared" si="40"/>
        <v>0</v>
      </c>
      <c r="H118" s="8">
        <f t="shared" si="40"/>
        <v>0</v>
      </c>
      <c r="I118" s="8">
        <f t="shared" si="40"/>
        <v>0</v>
      </c>
      <c r="J118" s="8">
        <f t="shared" si="40"/>
        <v>0</v>
      </c>
      <c r="K118" s="37" t="s">
        <v>240</v>
      </c>
      <c r="L118" s="44"/>
      <c r="M118" s="45">
        <f>L116+L117</f>
        <v>1.38044837603949</v>
      </c>
      <c r="N118" s="46"/>
      <c r="O118" s="43"/>
      <c r="P118" s="43" t="s">
        <v>77</v>
      </c>
      <c r="Q118" s="74" t="str">
        <f>HLOOKUP(--LARGE($B$91:$Z$91,1),$B$91:$Z$92,2,FALSE)</f>
        <v>0:0</v>
      </c>
      <c r="R118" s="74" t="str">
        <f>HLOOKUP(--LARGE($B121:$Z121,2),$B121:$Z122,2,FALSE)</f>
        <v>１:０</v>
      </c>
      <c r="S118" s="74" t="str">
        <f>HLOOKUP(--LARGE($B121:$Z121,3),$B121:$Z122,2,FALSE)</f>
        <v>0:1</v>
      </c>
      <c r="T118" s="74" t="str">
        <f>HLOOKUP(--LARGE($B121:$Z121,4),$B121:$Z122,2,FALSE)</f>
        <v>1:1</v>
      </c>
      <c r="U118" s="9"/>
      <c r="V118" s="9"/>
      <c r="W118" s="9"/>
      <c r="X118" s="9"/>
      <c r="Y118" s="9"/>
      <c r="Z118" s="9"/>
    </row>
    <row r="119" spans="1:26">
      <c r="A119" s="10" t="s">
        <v>229</v>
      </c>
      <c r="B119" s="11">
        <v>0</v>
      </c>
      <c r="C119" s="11">
        <v>1</v>
      </c>
      <c r="D119" s="11">
        <v>2</v>
      </c>
      <c r="E119" s="11">
        <v>3</v>
      </c>
      <c r="F119" s="11">
        <v>4</v>
      </c>
      <c r="G119" s="11">
        <v>5</v>
      </c>
      <c r="H119" s="11">
        <v>6</v>
      </c>
      <c r="I119" s="11">
        <v>7</v>
      </c>
      <c r="J119" s="11">
        <v>8</v>
      </c>
      <c r="K119" s="47"/>
      <c r="L119" s="44"/>
      <c r="M119" s="48"/>
      <c r="N119" s="46"/>
      <c r="O119" s="43"/>
      <c r="P119" s="43"/>
      <c r="Q119" s="75"/>
      <c r="R119" s="75"/>
      <c r="S119" s="75"/>
      <c r="T119" s="75"/>
      <c r="U119" s="9"/>
      <c r="V119" s="9"/>
      <c r="W119" s="9"/>
      <c r="X119" s="9"/>
      <c r="Y119" s="9"/>
      <c r="Z119" s="9"/>
    </row>
    <row r="120" spans="1:26">
      <c r="A120" s="94" t="s">
        <v>77</v>
      </c>
      <c r="B120" s="95" t="s">
        <v>241</v>
      </c>
      <c r="C120" s="95" t="s">
        <v>242</v>
      </c>
      <c r="D120" s="95" t="s">
        <v>243</v>
      </c>
      <c r="E120" s="96" t="s">
        <v>244</v>
      </c>
      <c r="F120" s="97" t="s">
        <v>245</v>
      </c>
      <c r="G120" s="97" t="s">
        <v>246</v>
      </c>
      <c r="H120" s="97" t="s">
        <v>247</v>
      </c>
      <c r="I120" s="97" t="s">
        <v>248</v>
      </c>
      <c r="J120" s="95" t="s">
        <v>249</v>
      </c>
      <c r="K120" s="95" t="s">
        <v>250</v>
      </c>
      <c r="L120" s="105" t="s">
        <v>251</v>
      </c>
      <c r="M120" s="105" t="s">
        <v>252</v>
      </c>
      <c r="N120" s="105" t="s">
        <v>253</v>
      </c>
      <c r="O120" s="106" t="s">
        <v>254</v>
      </c>
      <c r="P120" s="107" t="s">
        <v>255</v>
      </c>
      <c r="Q120" s="95" t="s">
        <v>256</v>
      </c>
      <c r="R120" s="95" t="s">
        <v>257</v>
      </c>
      <c r="S120" s="95" t="s">
        <v>258</v>
      </c>
      <c r="T120" s="96" t="s">
        <v>259</v>
      </c>
      <c r="U120" s="97" t="s">
        <v>260</v>
      </c>
      <c r="V120" s="97" t="s">
        <v>261</v>
      </c>
      <c r="W120" s="97" t="s">
        <v>262</v>
      </c>
      <c r="X120" s="97" t="s">
        <v>263</v>
      </c>
      <c r="Y120" s="95" t="s">
        <v>264</v>
      </c>
      <c r="Z120" s="95" t="s">
        <v>265</v>
      </c>
    </row>
    <row r="121" spans="1:26">
      <c r="A121" s="12" t="s">
        <v>266</v>
      </c>
      <c r="B121" s="13">
        <f>C116*B117</f>
        <v>0.17417226593703</v>
      </c>
      <c r="C121" s="12">
        <f>D116*B117</f>
        <v>0.0603183038222743</v>
      </c>
      <c r="D121" s="12">
        <f>D116*C117</f>
        <v>0.04148815168714</v>
      </c>
      <c r="E121" s="12">
        <f>E116*B117</f>
        <v>0.0139260509565918</v>
      </c>
      <c r="F121" s="12">
        <f>E116*C117</f>
        <v>0.00957862005192134</v>
      </c>
      <c r="G121" s="12">
        <f>E116*D117</f>
        <v>0.00329418448866297</v>
      </c>
      <c r="H121" s="12">
        <f>F116*B117</f>
        <v>0.00241139359393725</v>
      </c>
      <c r="I121" s="13">
        <f>F116*C117</f>
        <v>0.00165860537951205</v>
      </c>
      <c r="J121" s="13">
        <f>F116*D117</f>
        <v>0.000570411195389841</v>
      </c>
      <c r="K121" s="13">
        <f>F116*E117+G116*SUM(B117:F117)+H116*SUM(B117:G117)+I116*SUM(B117:H117)+J116*SUM(B117:I117)</f>
        <v>0.000879780737931948</v>
      </c>
      <c r="L121" s="12">
        <f>B116*B117</f>
        <v>0.251465776549546</v>
      </c>
      <c r="M121" s="12">
        <f>C116*C117</f>
        <v>0.119799214019342</v>
      </c>
      <c r="N121" s="12">
        <f>D116*D117</f>
        <v>0.0142681957328142</v>
      </c>
      <c r="O121" s="12">
        <f>E116*E117</f>
        <v>0.000755268948729975</v>
      </c>
      <c r="P121" s="12">
        <f>F116*F117+G116*G117+H116*H117+I116*I117+J116*J117</f>
        <v>2.29225723245389e-5</v>
      </c>
      <c r="Q121" s="13">
        <f>C117*B116</f>
        <v>0.172963256930301</v>
      </c>
      <c r="R121" s="12">
        <f>D117*B116</f>
        <v>0.0594838165622969</v>
      </c>
      <c r="S121" s="12">
        <f>D117*C116</f>
        <v>0.0412001635347645</v>
      </c>
      <c r="T121" s="12">
        <f>E117*B116</f>
        <v>0.0136380581464298</v>
      </c>
      <c r="U121" s="12">
        <f>E117*C116</f>
        <v>0.00944610245949958</v>
      </c>
      <c r="V121" s="12">
        <f>E117*D116</f>
        <v>0.00327131805412938</v>
      </c>
      <c r="W121" s="12">
        <f>F117*B116</f>
        <v>0.00234513319026789</v>
      </c>
      <c r="X121" s="13">
        <f>F117*C116</f>
        <v>0.00162430517296502</v>
      </c>
      <c r="Y121" s="13">
        <f>F117*D116</f>
        <v>0.000562519712285412</v>
      </c>
      <c r="Z121" s="13">
        <f>1-SUM(B121:Y121)</f>
        <v>0.00085618056391179</v>
      </c>
    </row>
    <row r="122" spans="1:26">
      <c r="A122" s="21" t="s">
        <v>266</v>
      </c>
      <c r="B122" s="22" t="s">
        <v>241</v>
      </c>
      <c r="C122" s="22" t="s">
        <v>242</v>
      </c>
      <c r="D122" s="22" t="s">
        <v>243</v>
      </c>
      <c r="E122" s="23" t="s">
        <v>267</v>
      </c>
      <c r="F122" s="24" t="s">
        <v>245</v>
      </c>
      <c r="G122" s="24" t="s">
        <v>246</v>
      </c>
      <c r="H122" s="24" t="s">
        <v>247</v>
      </c>
      <c r="I122" s="24" t="s">
        <v>248</v>
      </c>
      <c r="J122" s="22" t="s">
        <v>249</v>
      </c>
      <c r="K122" s="22" t="s">
        <v>250</v>
      </c>
      <c r="L122" s="58" t="s">
        <v>251</v>
      </c>
      <c r="M122" s="58" t="s">
        <v>252</v>
      </c>
      <c r="N122" s="58" t="s">
        <v>253</v>
      </c>
      <c r="O122" s="59" t="s">
        <v>254</v>
      </c>
      <c r="P122" s="60" t="s">
        <v>255</v>
      </c>
      <c r="Q122" s="22" t="s">
        <v>256</v>
      </c>
      <c r="R122" s="22" t="s">
        <v>257</v>
      </c>
      <c r="S122" s="22" t="s">
        <v>258</v>
      </c>
      <c r="T122" s="23" t="s">
        <v>259</v>
      </c>
      <c r="U122" s="24" t="s">
        <v>260</v>
      </c>
      <c r="V122" s="24" t="s">
        <v>261</v>
      </c>
      <c r="W122" s="24" t="s">
        <v>262</v>
      </c>
      <c r="X122" s="24" t="s">
        <v>263</v>
      </c>
      <c r="Y122" s="22" t="s">
        <v>264</v>
      </c>
      <c r="Z122" s="22" t="s">
        <v>265</v>
      </c>
    </row>
    <row r="123" ht="39.75" customHeight="1"/>
    <row r="124" ht="35.25" customHeight="1" spans="1:7">
      <c r="A124" s="89" t="s">
        <v>271</v>
      </c>
      <c r="B124" s="99">
        <f>SUM(B131:K131)</f>
        <v>0.51893014576028</v>
      </c>
      <c r="C124" s="99">
        <f>SUM(L131:O131)</f>
        <v>0.252074017417079</v>
      </c>
      <c r="D124" s="99">
        <f>SUM(Q131:Z131)</f>
        <v>0.228251017080118</v>
      </c>
      <c r="E124" s="100">
        <f>0.9/B124</f>
        <v>1.73433747750657</v>
      </c>
      <c r="F124" s="91">
        <f>0.9/C124</f>
        <v>3.57037987977504</v>
      </c>
      <c r="G124" s="91">
        <f>0.9/D124</f>
        <v>3.94302733680303</v>
      </c>
    </row>
    <row r="125" spans="1:26">
      <c r="A125" s="93" t="s">
        <v>229</v>
      </c>
      <c r="B125" s="20">
        <v>0</v>
      </c>
      <c r="C125" s="20">
        <v>1</v>
      </c>
      <c r="D125" s="20">
        <v>2</v>
      </c>
      <c r="E125" s="20">
        <v>3</v>
      </c>
      <c r="F125" s="20">
        <v>4</v>
      </c>
      <c r="G125" s="20">
        <v>5</v>
      </c>
      <c r="H125" s="20">
        <v>6</v>
      </c>
      <c r="I125" s="20">
        <v>7</v>
      </c>
      <c r="J125" s="20">
        <v>8</v>
      </c>
      <c r="K125" s="20"/>
      <c r="L125" s="20" t="s">
        <v>230</v>
      </c>
      <c r="M125" s="56"/>
      <c r="N125" s="56"/>
      <c r="O125" s="56"/>
      <c r="P125" s="57" t="s">
        <v>232</v>
      </c>
      <c r="Q125" s="57" t="s">
        <v>233</v>
      </c>
      <c r="R125" s="57"/>
      <c r="S125" s="57"/>
      <c r="T125" s="57"/>
      <c r="U125" s="77"/>
      <c r="V125" s="77"/>
      <c r="W125" s="77"/>
      <c r="X125" s="77"/>
      <c r="Y125" s="77"/>
      <c r="Z125" s="77"/>
    </row>
    <row r="126" ht="21" customHeight="1" spans="1:26">
      <c r="A126" s="7" t="s">
        <v>234</v>
      </c>
      <c r="B126" s="8">
        <f t="shared" ref="B126:J126" si="41">POISSON(B125,$L$126,FALSE)</f>
        <v>0.206981263960361</v>
      </c>
      <c r="C126" s="8">
        <f t="shared" si="41"/>
        <v>0.326021777789034</v>
      </c>
      <c r="D126" s="8">
        <f t="shared" si="41"/>
        <v>0.256762852731149</v>
      </c>
      <c r="E126" s="8">
        <f t="shared" si="41"/>
        <v>0.134811367489482</v>
      </c>
      <c r="F126" s="8">
        <f t="shared" si="41"/>
        <v>0.0530862562800722</v>
      </c>
      <c r="G126" s="8">
        <f t="shared" si="41"/>
        <v>0.0167235191412378</v>
      </c>
      <c r="H126" s="8">
        <f t="shared" si="41"/>
        <v>0.00439027776153325</v>
      </c>
      <c r="I126" s="8">
        <f t="shared" si="41"/>
        <v>0.000987892149833046</v>
      </c>
      <c r="J126" s="8">
        <f t="shared" si="41"/>
        <v>0.000194506950043363</v>
      </c>
      <c r="K126" s="37" t="s">
        <v>235</v>
      </c>
      <c r="L126" s="38">
        <f>P126</f>
        <v>1.57512700208204</v>
      </c>
      <c r="M126" s="39"/>
      <c r="N126" s="39"/>
      <c r="O126" s="39"/>
      <c r="P126" s="40">
        <f>AB71</f>
        <v>1.57512700208204</v>
      </c>
      <c r="Q126" s="71">
        <f>HLOOKUP(--LARGE(B128:J128,1),B128:J129,2,FALSE)</f>
        <v>0</v>
      </c>
      <c r="R126" s="71">
        <f>HLOOKUP(--LARGE(B128:J128,2),B128:J129,2,FALSE)</f>
        <v>1</v>
      </c>
      <c r="S126" s="71">
        <f>HLOOKUP(--LARGE(B128:J128,3),B128:J129,2,FALSE)</f>
        <v>1</v>
      </c>
      <c r="T126" s="71"/>
      <c r="U126" s="9"/>
      <c r="V126" s="10"/>
      <c r="W126" s="10"/>
      <c r="X126" s="10"/>
      <c r="Y126" s="9"/>
      <c r="Z126" s="9"/>
    </row>
    <row r="127" ht="21" customHeight="1" spans="1:26">
      <c r="A127" s="7" t="s">
        <v>236</v>
      </c>
      <c r="B127" s="8">
        <f t="shared" ref="B127:J127" si="42">POISSON(B125,$L$127,FALSE)</f>
        <v>0.386014995402409</v>
      </c>
      <c r="C127" s="8">
        <f t="shared" si="42"/>
        <v>0.367439591772116</v>
      </c>
      <c r="D127" s="8">
        <f t="shared" si="42"/>
        <v>0.174879026993386</v>
      </c>
      <c r="E127" s="8">
        <f t="shared" si="42"/>
        <v>0.0554878947305905</v>
      </c>
      <c r="F127" s="8">
        <f t="shared" si="42"/>
        <v>0.0132044412982247</v>
      </c>
      <c r="G127" s="8">
        <f t="shared" si="42"/>
        <v>0.00251380623964655</v>
      </c>
      <c r="H127" s="8">
        <f t="shared" si="42"/>
        <v>0.000398806587607228</v>
      </c>
      <c r="I127" s="8">
        <f t="shared" si="42"/>
        <v>5.42308057946483e-5</v>
      </c>
      <c r="J127" s="8">
        <f t="shared" si="42"/>
        <v>6.4526460694505e-6</v>
      </c>
      <c r="K127" s="37" t="s">
        <v>237</v>
      </c>
      <c r="L127" s="38">
        <f>P127</f>
        <v>0.951879062079108</v>
      </c>
      <c r="M127" s="44"/>
      <c r="N127" s="48"/>
      <c r="O127" s="43"/>
      <c r="P127" s="40">
        <f>AB70</f>
        <v>0.951879062079108</v>
      </c>
      <c r="Q127" s="43" t="s">
        <v>238</v>
      </c>
      <c r="R127" s="43"/>
      <c r="S127" s="43"/>
      <c r="T127" s="43"/>
      <c r="U127" s="9"/>
      <c r="V127" s="9"/>
      <c r="W127" s="9"/>
      <c r="X127" s="9"/>
      <c r="Y127" s="9"/>
      <c r="Z127" s="9"/>
    </row>
    <row r="128" ht="21" customHeight="1" spans="1:26">
      <c r="A128" s="9" t="s">
        <v>239</v>
      </c>
      <c r="B128" s="8">
        <f t="shared" ref="B128:J128" si="43">POISSON(B125,$M$75,FALSE)</f>
        <v>1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8">
        <f t="shared" si="43"/>
        <v>0</v>
      </c>
      <c r="K128" s="37" t="s">
        <v>240</v>
      </c>
      <c r="L128" s="44"/>
      <c r="M128" s="45">
        <f>L126+L127</f>
        <v>2.52700606416114</v>
      </c>
      <c r="N128" s="46"/>
      <c r="O128" s="43"/>
      <c r="P128" s="43" t="s">
        <v>77</v>
      </c>
      <c r="Q128" s="74" t="str">
        <f>HLOOKUP(--LARGE($B$91:$Z$91,1),$B$91:$Z$92,2,FALSE)</f>
        <v>0:0</v>
      </c>
      <c r="R128" s="74" t="str">
        <f>HLOOKUP(--LARGE($B131:$Z131,2),$B131:$Z132,2,FALSE)</f>
        <v>1:1</v>
      </c>
      <c r="S128" s="74" t="str">
        <f>HLOOKUP(--LARGE($B131:$Z131,3),$B131:$Z132,2,FALSE)</f>
        <v>2:0</v>
      </c>
      <c r="T128" s="74" t="str">
        <f>HLOOKUP(--LARGE($B131:$Z131,4),$B131:$Z132,2,FALSE)</f>
        <v>2:1</v>
      </c>
      <c r="U128" s="9"/>
      <c r="V128" s="9"/>
      <c r="W128" s="9"/>
      <c r="X128" s="9"/>
      <c r="Y128" s="9"/>
      <c r="Z128" s="9"/>
    </row>
    <row r="129" spans="1:26">
      <c r="A129" s="10" t="s">
        <v>229</v>
      </c>
      <c r="B129" s="11">
        <v>0</v>
      </c>
      <c r="C129" s="11">
        <v>1</v>
      </c>
      <c r="D129" s="11">
        <v>2</v>
      </c>
      <c r="E129" s="11">
        <v>3</v>
      </c>
      <c r="F129" s="11">
        <v>4</v>
      </c>
      <c r="G129" s="11">
        <v>5</v>
      </c>
      <c r="H129" s="11">
        <v>6</v>
      </c>
      <c r="I129" s="11">
        <v>7</v>
      </c>
      <c r="J129" s="11">
        <v>8</v>
      </c>
      <c r="K129" s="47"/>
      <c r="L129" s="44"/>
      <c r="M129" s="48"/>
      <c r="N129" s="46"/>
      <c r="O129" s="43"/>
      <c r="P129" s="43"/>
      <c r="Q129" s="75"/>
      <c r="R129" s="75"/>
      <c r="S129" s="75"/>
      <c r="T129" s="75"/>
      <c r="U129" s="9"/>
      <c r="V129" s="9"/>
      <c r="W129" s="9"/>
      <c r="X129" s="9"/>
      <c r="Y129" s="9"/>
      <c r="Z129" s="9"/>
    </row>
    <row r="130" spans="1:26">
      <c r="A130" s="94" t="s">
        <v>77</v>
      </c>
      <c r="B130" s="95" t="s">
        <v>241</v>
      </c>
      <c r="C130" s="95" t="s">
        <v>242</v>
      </c>
      <c r="D130" s="95" t="s">
        <v>243</v>
      </c>
      <c r="E130" s="96" t="s">
        <v>244</v>
      </c>
      <c r="F130" s="97" t="s">
        <v>245</v>
      </c>
      <c r="G130" s="97" t="s">
        <v>246</v>
      </c>
      <c r="H130" s="97" t="s">
        <v>247</v>
      </c>
      <c r="I130" s="97" t="s">
        <v>248</v>
      </c>
      <c r="J130" s="95" t="s">
        <v>249</v>
      </c>
      <c r="K130" s="95" t="s">
        <v>250</v>
      </c>
      <c r="L130" s="105" t="s">
        <v>251</v>
      </c>
      <c r="M130" s="105" t="s">
        <v>252</v>
      </c>
      <c r="N130" s="105" t="s">
        <v>253</v>
      </c>
      <c r="O130" s="106" t="s">
        <v>254</v>
      </c>
      <c r="P130" s="107" t="s">
        <v>255</v>
      </c>
      <c r="Q130" s="95" t="s">
        <v>256</v>
      </c>
      <c r="R130" s="95" t="s">
        <v>257</v>
      </c>
      <c r="S130" s="95" t="s">
        <v>258</v>
      </c>
      <c r="T130" s="96" t="s">
        <v>259</v>
      </c>
      <c r="U130" s="97" t="s">
        <v>260</v>
      </c>
      <c r="V130" s="97" t="s">
        <v>261</v>
      </c>
      <c r="W130" s="97" t="s">
        <v>262</v>
      </c>
      <c r="X130" s="97" t="s">
        <v>263</v>
      </c>
      <c r="Y130" s="95" t="s">
        <v>264</v>
      </c>
      <c r="Z130" s="95" t="s">
        <v>265</v>
      </c>
    </row>
    <row r="131" spans="1:26">
      <c r="A131" s="12" t="s">
        <v>266</v>
      </c>
      <c r="B131" s="13">
        <f>C126*B127</f>
        <v>0.125849295054319</v>
      </c>
      <c r="C131" s="12">
        <f>D126*B127</f>
        <v>0.099114311416524</v>
      </c>
      <c r="D131" s="12">
        <f>D126*C127</f>
        <v>0.0943448377897775</v>
      </c>
      <c r="E131" s="12">
        <f>E126*B127</f>
        <v>0.052039209401645</v>
      </c>
      <c r="F131" s="12">
        <f>E126*C127</f>
        <v>0.0495350338365762</v>
      </c>
      <c r="G131" s="12">
        <f>E126*D127</f>
        <v>0.0235756807742085</v>
      </c>
      <c r="H131" s="12">
        <f>F126*B127</f>
        <v>0.0204920909738832</v>
      </c>
      <c r="I131" s="13">
        <f>F126*C127</f>
        <v>0.0195059923362597</v>
      </c>
      <c r="J131" s="13">
        <f>F126*D127</f>
        <v>0.00928367284498057</v>
      </c>
      <c r="K131" s="13">
        <f>F126*E127+G126*SUM(B127:F127)+H126*SUM(B127:G127)+I126*SUM(B127:H127)+J126*SUM(B127:I127)</f>
        <v>0.0251900213321064</v>
      </c>
      <c r="L131" s="12">
        <f>B126*B127</f>
        <v>0.0798978716560434</v>
      </c>
      <c r="M131" s="12">
        <f>C126*C127</f>
        <v>0.119793308939622</v>
      </c>
      <c r="N131" s="12">
        <f>D126*D127</f>
        <v>0.0449024378536695</v>
      </c>
      <c r="O131" s="12">
        <f>E126*E127</f>
        <v>0.00748039896774335</v>
      </c>
      <c r="P131" s="12">
        <f>F126*F127+G126*G127+H126*H127+I126*I127+J126*J127</f>
        <v>0.000744819742523373</v>
      </c>
      <c r="Q131" s="13">
        <f>C127*B126</f>
        <v>0.0760531111340716</v>
      </c>
      <c r="R131" s="12">
        <f>D127*B126</f>
        <v>0.0361966820472491</v>
      </c>
      <c r="S131" s="12">
        <f>D127*C126</f>
        <v>0.0570143712784003</v>
      </c>
      <c r="T131" s="12">
        <f>E127*B126</f>
        <v>0.0114849545858371</v>
      </c>
      <c r="U131" s="12">
        <f>E127*C126</f>
        <v>0.0180902620858379</v>
      </c>
      <c r="V131" s="12">
        <f>E127*D126</f>
        <v>0.0142472301430721</v>
      </c>
      <c r="W131" s="12">
        <f>F127*B126</f>
        <v>0.00273307194979693</v>
      </c>
      <c r="X131" s="13">
        <f>F127*C126</f>
        <v>0.00430493542675816</v>
      </c>
      <c r="Y131" s="13">
        <f>F127*D126</f>
        <v>0.00339041001645317</v>
      </c>
      <c r="Z131" s="13">
        <f>1-SUM(B131:Y131)</f>
        <v>0.00473598841264145</v>
      </c>
    </row>
    <row r="132" spans="1:26">
      <c r="A132" s="21" t="s">
        <v>266</v>
      </c>
      <c r="B132" s="22" t="s">
        <v>241</v>
      </c>
      <c r="C132" s="22" t="s">
        <v>242</v>
      </c>
      <c r="D132" s="22" t="s">
        <v>243</v>
      </c>
      <c r="E132" s="23" t="s">
        <v>267</v>
      </c>
      <c r="F132" s="24" t="s">
        <v>245</v>
      </c>
      <c r="G132" s="24" t="s">
        <v>246</v>
      </c>
      <c r="H132" s="24" t="s">
        <v>247</v>
      </c>
      <c r="I132" s="24" t="s">
        <v>248</v>
      </c>
      <c r="J132" s="22" t="s">
        <v>249</v>
      </c>
      <c r="K132" s="22" t="s">
        <v>250</v>
      </c>
      <c r="L132" s="58" t="s">
        <v>251</v>
      </c>
      <c r="M132" s="58" t="s">
        <v>252</v>
      </c>
      <c r="N132" s="58" t="s">
        <v>253</v>
      </c>
      <c r="O132" s="59" t="s">
        <v>254</v>
      </c>
      <c r="P132" s="60" t="s">
        <v>255</v>
      </c>
      <c r="Q132" s="22" t="s">
        <v>256</v>
      </c>
      <c r="R132" s="22" t="s">
        <v>257</v>
      </c>
      <c r="S132" s="22" t="s">
        <v>258</v>
      </c>
      <c r="T132" s="23" t="s">
        <v>259</v>
      </c>
      <c r="U132" s="24" t="s">
        <v>260</v>
      </c>
      <c r="V132" s="24" t="s">
        <v>261</v>
      </c>
      <c r="W132" s="24" t="s">
        <v>262</v>
      </c>
      <c r="X132" s="24" t="s">
        <v>263</v>
      </c>
      <c r="Y132" s="22" t="s">
        <v>264</v>
      </c>
      <c r="Z132" s="22" t="s">
        <v>265</v>
      </c>
    </row>
  </sheetData>
  <mergeCells count="30">
    <mergeCell ref="M5:O5"/>
    <mergeCell ref="Q5:T5"/>
    <mergeCell ref="Q7:T7"/>
    <mergeCell ref="M14:O14"/>
    <mergeCell ref="Q14:T14"/>
    <mergeCell ref="Q16:T16"/>
    <mergeCell ref="M23:O23"/>
    <mergeCell ref="Q23:T23"/>
    <mergeCell ref="Q25:T25"/>
    <mergeCell ref="M33:O33"/>
    <mergeCell ref="Q33:T33"/>
    <mergeCell ref="Q35:T35"/>
    <mergeCell ref="M73:O73"/>
    <mergeCell ref="Q73:T73"/>
    <mergeCell ref="Q75:T75"/>
    <mergeCell ref="M85:O85"/>
    <mergeCell ref="Q85:T85"/>
    <mergeCell ref="Q87:T87"/>
    <mergeCell ref="M95:O95"/>
    <mergeCell ref="Q95:T95"/>
    <mergeCell ref="Q97:T97"/>
    <mergeCell ref="M105:O105"/>
    <mergeCell ref="Q105:T105"/>
    <mergeCell ref="Q107:T107"/>
    <mergeCell ref="M115:O115"/>
    <mergeCell ref="Q115:T115"/>
    <mergeCell ref="Q117:T117"/>
    <mergeCell ref="M125:O125"/>
    <mergeCell ref="Q125:T125"/>
    <mergeCell ref="Q127:T127"/>
  </mergeCells>
  <conditionalFormatting sqref="B8:J8">
    <cfRule type="top10" dxfId="5" priority="19" rank="3"/>
  </conditionalFormatting>
  <conditionalFormatting sqref="B11:Z11">
    <cfRule type="top10" dxfId="5" priority="20" rank="4"/>
  </conditionalFormatting>
  <conditionalFormatting sqref="B17:J17">
    <cfRule type="top10" dxfId="5" priority="9" rank="3"/>
  </conditionalFormatting>
  <conditionalFormatting sqref="B20:Z20">
    <cfRule type="top10" dxfId="5" priority="10" rank="4"/>
  </conditionalFormatting>
  <conditionalFormatting sqref="L21:N21">
    <cfRule type="containsErrors" dxfId="6" priority="8">
      <formula>ISERROR(L21)</formula>
    </cfRule>
  </conditionalFormatting>
  <conditionalFormatting sqref="B26:J26">
    <cfRule type="top10" dxfId="5" priority="4" rank="3"/>
  </conditionalFormatting>
  <conditionalFormatting sqref="B29:Z29">
    <cfRule type="top10" dxfId="5" priority="5" rank="4"/>
  </conditionalFormatting>
  <conditionalFormatting sqref="L30:N30">
    <cfRule type="containsErrors" dxfId="6" priority="3">
      <formula>ISERROR(L30)</formula>
    </cfRule>
  </conditionalFormatting>
  <conditionalFormatting sqref="B36:J36">
    <cfRule type="top10" dxfId="5" priority="14" rank="3"/>
  </conditionalFormatting>
  <conditionalFormatting sqref="B39:Z39">
    <cfRule type="top10" dxfId="5" priority="15" rank="4"/>
  </conditionalFormatting>
  <conditionalFormatting sqref="L40:N40">
    <cfRule type="containsErrors" dxfId="6" priority="13">
      <formula>ISERROR(L40)</formula>
    </cfRule>
  </conditionalFormatting>
  <conditionalFormatting sqref="B75:J75">
    <cfRule type="top10" dxfId="5" priority="199" rank="3"/>
  </conditionalFormatting>
  <conditionalFormatting sqref="B76:J76">
    <cfRule type="top10" dxfId="5" priority="151" rank="3"/>
  </conditionalFormatting>
  <conditionalFormatting sqref="L77:N77">
    <cfRule type="containsErrors" dxfId="6" priority="198">
      <formula>ISERROR(L77)</formula>
    </cfRule>
  </conditionalFormatting>
  <conditionalFormatting sqref="B78:Z78">
    <cfRule type="top10" dxfId="5" priority="200" rank="4"/>
  </conditionalFormatting>
  <conditionalFormatting sqref="L78:N78">
    <cfRule type="containsErrors" dxfId="6" priority="150">
      <formula>ISERROR(L78)</formula>
    </cfRule>
  </conditionalFormatting>
  <conditionalFormatting sqref="B79:Z79">
    <cfRule type="top10" dxfId="5" priority="152" rank="4"/>
  </conditionalFormatting>
  <conditionalFormatting sqref="L79:N79">
    <cfRule type="containsErrors" dxfId="6" priority="195">
      <formula>ISERROR(L79)</formula>
    </cfRule>
  </conditionalFormatting>
  <conditionalFormatting sqref="L80:N80">
    <cfRule type="containsErrors" dxfId="6" priority="147">
      <formula>ISERROR(L80)</formula>
    </cfRule>
  </conditionalFormatting>
  <conditionalFormatting sqref="B88:J88">
    <cfRule type="top10" dxfId="5" priority="175" rank="3"/>
  </conditionalFormatting>
  <conditionalFormatting sqref="L90:N90">
    <cfRule type="containsErrors" dxfId="6" priority="174">
      <formula>ISERROR(L90)</formula>
    </cfRule>
  </conditionalFormatting>
  <conditionalFormatting sqref="B91:Z91">
    <cfRule type="top10" dxfId="5" priority="176" rank="4"/>
  </conditionalFormatting>
  <conditionalFormatting sqref="L92:N92">
    <cfRule type="containsErrors" dxfId="6" priority="171">
      <formula>ISERROR(L92)</formula>
    </cfRule>
  </conditionalFormatting>
  <conditionalFormatting sqref="B98:J98">
    <cfRule type="top10" dxfId="5" priority="63" rank="3"/>
  </conditionalFormatting>
  <conditionalFormatting sqref="L100:N100">
    <cfRule type="containsErrors" dxfId="6" priority="62">
      <formula>ISERROR(L100)</formula>
    </cfRule>
  </conditionalFormatting>
  <conditionalFormatting sqref="B101:Z101">
    <cfRule type="top10" dxfId="5" priority="64" rank="4"/>
  </conditionalFormatting>
  <conditionalFormatting sqref="L102:N102">
    <cfRule type="containsErrors" dxfId="6" priority="59">
      <formula>ISERROR(L102)</formula>
    </cfRule>
  </conditionalFormatting>
  <conditionalFormatting sqref="B108:J108">
    <cfRule type="top10" dxfId="5" priority="71" rank="3"/>
  </conditionalFormatting>
  <conditionalFormatting sqref="L110:N110">
    <cfRule type="containsErrors" dxfId="6" priority="70">
      <formula>ISERROR(L110)</formula>
    </cfRule>
  </conditionalFormatting>
  <conditionalFormatting sqref="B111:Z111">
    <cfRule type="top10" dxfId="5" priority="72" rank="4"/>
  </conditionalFormatting>
  <conditionalFormatting sqref="L112:N112">
    <cfRule type="containsErrors" dxfId="6" priority="67">
      <formula>ISERROR(L112)</formula>
    </cfRule>
  </conditionalFormatting>
  <conditionalFormatting sqref="B118:J118">
    <cfRule type="top10" dxfId="5" priority="47" rank="3"/>
  </conditionalFormatting>
  <conditionalFormatting sqref="L120:N120">
    <cfRule type="containsErrors" dxfId="6" priority="46">
      <formula>ISERROR(L120)</formula>
    </cfRule>
  </conditionalFormatting>
  <conditionalFormatting sqref="B121:Z121">
    <cfRule type="top10" dxfId="5" priority="48" rank="4"/>
  </conditionalFormatting>
  <conditionalFormatting sqref="L122:N122">
    <cfRule type="containsErrors" dxfId="6" priority="43">
      <formula>ISERROR(L122)</formula>
    </cfRule>
  </conditionalFormatting>
  <conditionalFormatting sqref="B128:J128">
    <cfRule type="top10" dxfId="5" priority="55" rank="3"/>
  </conditionalFormatting>
  <conditionalFormatting sqref="L130:N130">
    <cfRule type="containsErrors" dxfId="6" priority="54">
      <formula>ISERROR(L130)</formula>
    </cfRule>
  </conditionalFormatting>
  <conditionalFormatting sqref="B131:Z131">
    <cfRule type="top10" dxfId="5" priority="56" rank="4"/>
  </conditionalFormatting>
  <conditionalFormatting sqref="L132:N132">
    <cfRule type="containsErrors" dxfId="6" priority="51">
      <formula>ISERROR(L132)</formula>
    </cfRule>
  </conditionalFormatting>
  <conditionalFormatting sqref="G12:I12 B12:E12 H13">
    <cfRule type="containsErrors" dxfId="3" priority="17">
      <formula>ISERROR(B12)</formula>
    </cfRule>
  </conditionalFormatting>
  <conditionalFormatting sqref="L12:N13">
    <cfRule type="containsErrors" dxfId="6" priority="18">
      <formula>ISERROR(L12)</formula>
    </cfRule>
  </conditionalFormatting>
  <conditionalFormatting sqref="V12:X13 Q12:T13">
    <cfRule type="containsErrors" dxfId="3" priority="16">
      <formula>ISERROR(Q12)</formula>
    </cfRule>
  </conditionalFormatting>
  <conditionalFormatting sqref="G21:I21 B21:E21">
    <cfRule type="containsErrors" dxfId="3" priority="7">
      <formula>ISERROR(B21)</formula>
    </cfRule>
  </conditionalFormatting>
  <conditionalFormatting sqref="V21:X21 Q21:T21">
    <cfRule type="containsErrors" dxfId="3" priority="6">
      <formula>ISERROR(Q21)</formula>
    </cfRule>
  </conditionalFormatting>
  <conditionalFormatting sqref="G30:I30 B30:E30">
    <cfRule type="containsErrors" dxfId="3" priority="2">
      <formula>ISERROR(B30)</formula>
    </cfRule>
  </conditionalFormatting>
  <conditionalFormatting sqref="V30:X30 Q30:T30">
    <cfRule type="containsErrors" dxfId="3" priority="1">
      <formula>ISERROR(Q30)</formula>
    </cfRule>
  </conditionalFormatting>
  <conditionalFormatting sqref="G40:I40 B40:E40">
    <cfRule type="containsErrors" dxfId="3" priority="12">
      <formula>ISERROR(B40)</formula>
    </cfRule>
  </conditionalFormatting>
  <conditionalFormatting sqref="V40:X40 Q40:T40">
    <cfRule type="containsErrors" dxfId="3" priority="11">
      <formula>ISERROR(Q40)</formula>
    </cfRule>
  </conditionalFormatting>
  <conditionalFormatting sqref="G77:I77 B77:E77">
    <cfRule type="containsErrors" dxfId="3" priority="197">
      <formula>ISERROR(B77)</formula>
    </cfRule>
  </conditionalFormatting>
  <conditionalFormatting sqref="V77:X77 Q77:T77">
    <cfRule type="containsErrors" dxfId="3" priority="196">
      <formula>ISERROR(Q77)</formula>
    </cfRule>
  </conditionalFormatting>
  <conditionalFormatting sqref="G78:I78 B78:E78">
    <cfRule type="containsErrors" dxfId="3" priority="149">
      <formula>ISERROR(B78)</formula>
    </cfRule>
  </conditionalFormatting>
  <conditionalFormatting sqref="V78:X78 Q78:T78">
    <cfRule type="containsErrors" dxfId="3" priority="148">
      <formula>ISERROR(Q78)</formula>
    </cfRule>
  </conditionalFormatting>
  <conditionalFormatting sqref="G79:I79 B79:E79">
    <cfRule type="containsErrors" dxfId="3" priority="194">
      <formula>ISERROR(B79)</formula>
    </cfRule>
  </conditionalFormatting>
  <conditionalFormatting sqref="V79:X79 Q79:T79">
    <cfRule type="containsErrors" dxfId="3" priority="193">
      <formula>ISERROR(Q79)</formula>
    </cfRule>
  </conditionalFormatting>
  <conditionalFormatting sqref="G80:I80 B80:E80">
    <cfRule type="containsErrors" dxfId="3" priority="146">
      <formula>ISERROR(B80)</formula>
    </cfRule>
  </conditionalFormatting>
  <conditionalFormatting sqref="V80:X80 Q80:T80">
    <cfRule type="containsErrors" dxfId="3" priority="145">
      <formula>ISERROR(Q80)</formula>
    </cfRule>
  </conditionalFormatting>
  <conditionalFormatting sqref="G90:I90 B90:E90">
    <cfRule type="containsErrors" dxfId="3" priority="173">
      <formula>ISERROR(B90)</formula>
    </cfRule>
  </conditionalFormatting>
  <conditionalFormatting sqref="V90:X90 Q90:T90">
    <cfRule type="containsErrors" dxfId="3" priority="172">
      <formula>ISERROR(Q90)</formula>
    </cfRule>
  </conditionalFormatting>
  <conditionalFormatting sqref="G92:I92 B92:E92">
    <cfRule type="containsErrors" dxfId="3" priority="170">
      <formula>ISERROR(B92)</formula>
    </cfRule>
  </conditionalFormatting>
  <conditionalFormatting sqref="V92:X92 Q92:T92">
    <cfRule type="containsErrors" dxfId="3" priority="169">
      <formula>ISERROR(Q92)</formula>
    </cfRule>
  </conditionalFormatting>
  <conditionalFormatting sqref="G100:I100 B100:E100">
    <cfRule type="containsErrors" dxfId="3" priority="61">
      <formula>ISERROR(B100)</formula>
    </cfRule>
  </conditionalFormatting>
  <conditionalFormatting sqref="V100:X100 Q100:T100">
    <cfRule type="containsErrors" dxfId="3" priority="60">
      <formula>ISERROR(Q100)</formula>
    </cfRule>
  </conditionalFormatting>
  <conditionalFormatting sqref="G102:I102 B102:E102">
    <cfRule type="containsErrors" dxfId="3" priority="58">
      <formula>ISERROR(B102)</formula>
    </cfRule>
  </conditionalFormatting>
  <conditionalFormatting sqref="V102:X102 Q102:T102">
    <cfRule type="containsErrors" dxfId="3" priority="57">
      <formula>ISERROR(Q102)</formula>
    </cfRule>
  </conditionalFormatting>
  <conditionalFormatting sqref="G110:I110 B110:E110">
    <cfRule type="containsErrors" dxfId="3" priority="69">
      <formula>ISERROR(B110)</formula>
    </cfRule>
  </conditionalFormatting>
  <conditionalFormatting sqref="V110:X110 Q110:T110">
    <cfRule type="containsErrors" dxfId="3" priority="68">
      <formula>ISERROR(Q110)</formula>
    </cfRule>
  </conditionalFormatting>
  <conditionalFormatting sqref="G112:I112 B112:E112">
    <cfRule type="containsErrors" dxfId="3" priority="66">
      <formula>ISERROR(B112)</formula>
    </cfRule>
  </conditionalFormatting>
  <conditionalFormatting sqref="V112:X112 Q112:T112">
    <cfRule type="containsErrors" dxfId="3" priority="65">
      <formula>ISERROR(Q112)</formula>
    </cfRule>
  </conditionalFormatting>
  <conditionalFormatting sqref="G120:I120 B120:E120">
    <cfRule type="containsErrors" dxfId="3" priority="45">
      <formula>ISERROR(B120)</formula>
    </cfRule>
  </conditionalFormatting>
  <conditionalFormatting sqref="V120:X120 Q120:T120">
    <cfRule type="containsErrors" dxfId="3" priority="44">
      <formula>ISERROR(Q120)</formula>
    </cfRule>
  </conditionalFormatting>
  <conditionalFormatting sqref="G122:I122 B122:E122">
    <cfRule type="containsErrors" dxfId="3" priority="42">
      <formula>ISERROR(B122)</formula>
    </cfRule>
  </conditionalFormatting>
  <conditionalFormatting sqref="V122:X122 Q122:T122">
    <cfRule type="containsErrors" dxfId="3" priority="41">
      <formula>ISERROR(Q122)</formula>
    </cfRule>
  </conditionalFormatting>
  <conditionalFormatting sqref="G130:I130 B130:E130">
    <cfRule type="containsErrors" dxfId="3" priority="53">
      <formula>ISERROR(B130)</formula>
    </cfRule>
  </conditionalFormatting>
  <conditionalFormatting sqref="V130:X130 Q130:T130">
    <cfRule type="containsErrors" dxfId="3" priority="52">
      <formula>ISERROR(Q130)</formula>
    </cfRule>
  </conditionalFormatting>
  <conditionalFormatting sqref="G132:I132 B132:E132">
    <cfRule type="containsErrors" dxfId="3" priority="50">
      <formula>ISERROR(B132)</formula>
    </cfRule>
  </conditionalFormatting>
  <conditionalFormatting sqref="V132:X132 Q132:T132">
    <cfRule type="containsErrors" dxfId="3" priority="49">
      <formula>ISERROR(Q132)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1"/>
  <sheetViews>
    <sheetView workbookViewId="0">
      <selection activeCell="M24" sqref="M24"/>
    </sheetView>
  </sheetViews>
  <sheetFormatPr defaultColWidth="9" defaultRowHeight="14.25"/>
  <sheetData>
    <row r="1" spans="1:29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</row>
  </sheetData>
  <pageMargins left="0.700606886796125" right="0.700606886796125" top="0.751989328955102" bottom="0.75198932895510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Yozo_Office27021597764231180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数据汇总表</vt:lpstr>
      <vt:lpstr>球探数据分析录入表</vt:lpstr>
      <vt:lpstr>球探亚洲盘口数据录入</vt:lpstr>
      <vt:lpstr>球探欧赔数据录入表</vt:lpstr>
      <vt:lpstr>欧洲数据分析表</vt:lpstr>
      <vt:lpstr>Sheet1</vt:lpstr>
      <vt:lpstr>工作表7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dcterms:created xsi:type="dcterms:W3CDTF">2015-01-04T11:55:00Z</dcterms:created>
  <cp:lastPrinted>2015-06-02T09:14:00Z</cp:lastPrinted>
  <dcterms:modified xsi:type="dcterms:W3CDTF">2022-12-03T00:36:57Z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649E29846F6A4A149A664EE7D75E3F60</vt:lpwstr>
  </property>
  <property fmtid="{D5CDD505-2E9C-101B-9397-08002B2CF9AE}" pid="3" name="KSOProductBuildVer">
    <vt:lpwstr>2052-11.1.0.12763</vt:lpwstr>
  </property>
</Properties>
</file>