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C0E4" lockStructure="1"/>
  <bookViews>
    <workbookView xWindow="3735" yWindow="825" windowWidth="16710" windowHeight="8535" tabRatio="845"/>
  </bookViews>
  <sheets>
    <sheet name="Front Cover" sheetId="21" r:id="rId1"/>
    <sheet name="QA &amp; Issue Sheet" sheetId="22" r:id="rId2"/>
    <sheet name="Contents Page" sheetId="23" r:id="rId3"/>
    <sheet name="Internal Control-Check Sheet" sheetId="26" state="hidden" r:id="rId4"/>
    <sheet name="Location Plan &amp; Summary" sheetId="16" r:id="rId5"/>
    <sheet name="MCC Data" sheetId="15" r:id="rId6"/>
    <sheet name="PCU Data" sheetId="17" r:id="rId7"/>
    <sheet name="Movement Matrices" sheetId="30" r:id="rId8"/>
  </sheets>
  <definedNames>
    <definedName name="_xlnm.Print_Area" localSheetId="2">'Contents Page'!$A$1:$K$70</definedName>
    <definedName name="_xlnm.Print_Area" localSheetId="0">'Front Cover'!$A$1:$K$70</definedName>
    <definedName name="_xlnm.Print_Area" localSheetId="3">'Internal Control-Check Sheet'!$E$1:$AB$150</definedName>
    <definedName name="_xlnm.Print_Area" localSheetId="4">'Location Plan &amp; Summary'!$B$1:$Q$89</definedName>
    <definedName name="_xlnm.Print_Area" localSheetId="5">'MCC Data'!$A$1:$Y$103</definedName>
    <definedName name="_xlnm.Print_Area" localSheetId="7">'Movement Matrices'!$B$1:$S$41</definedName>
    <definedName name="_xlnm.Print_Area" localSheetId="6">'PCU Data'!$A$1:$L$105</definedName>
    <definedName name="_xlnm.Print_Area" localSheetId="1">'QA &amp; Issue Sheet'!$A$1:$G$70</definedName>
  </definedNames>
  <calcPr calcId="145621"/>
</workbook>
</file>

<file path=xl/calcChain.xml><?xml version="1.0" encoding="utf-8"?>
<calcChain xmlns="http://schemas.openxmlformats.org/spreadsheetml/2006/main">
  <c r="G32" i="26" l="1"/>
  <c r="F32" i="26"/>
  <c r="F5" i="17"/>
  <c r="F4" i="17"/>
  <c r="F3" i="17"/>
  <c r="A5" i="17"/>
  <c r="A4" i="17"/>
  <c r="A3" i="17"/>
  <c r="X56" i="15" l="1"/>
  <c r="W56" i="15"/>
  <c r="V56" i="15"/>
  <c r="U56" i="15"/>
  <c r="Y56" i="15" s="1"/>
  <c r="F149" i="26" s="1"/>
  <c r="T56" i="15"/>
  <c r="S56" i="15"/>
  <c r="R56" i="15"/>
  <c r="X55" i="15"/>
  <c r="X101" i="15" s="1"/>
  <c r="W55" i="15"/>
  <c r="V55" i="15"/>
  <c r="U55" i="15"/>
  <c r="T55" i="15"/>
  <c r="Y55" i="15" s="1"/>
  <c r="F148" i="26" s="1"/>
  <c r="S55" i="15"/>
  <c r="R55" i="15"/>
  <c r="X54" i="15"/>
  <c r="W54" i="15"/>
  <c r="W102" i="15" s="1"/>
  <c r="V54" i="15"/>
  <c r="U54" i="15"/>
  <c r="T54" i="15"/>
  <c r="S54" i="15"/>
  <c r="S102" i="15" s="1"/>
  <c r="R54" i="15"/>
  <c r="X53" i="15"/>
  <c r="W53" i="15"/>
  <c r="V53" i="15"/>
  <c r="V99" i="15" s="1"/>
  <c r="U53" i="15"/>
  <c r="T53" i="15"/>
  <c r="S53" i="15"/>
  <c r="R53" i="15"/>
  <c r="X52" i="15"/>
  <c r="W52" i="15"/>
  <c r="V52" i="15"/>
  <c r="U52" i="15"/>
  <c r="Y52" i="15" s="1"/>
  <c r="F145" i="26" s="1"/>
  <c r="T52" i="15"/>
  <c r="S52" i="15"/>
  <c r="R52" i="15"/>
  <c r="X51" i="15"/>
  <c r="X97" i="15" s="1"/>
  <c r="W51" i="15"/>
  <c r="V51" i="15"/>
  <c r="U51" i="15"/>
  <c r="T51" i="15"/>
  <c r="T97" i="15" s="1"/>
  <c r="S51" i="15"/>
  <c r="R51" i="15"/>
  <c r="X50" i="15"/>
  <c r="W50" i="15"/>
  <c r="V50" i="15"/>
  <c r="U50" i="15"/>
  <c r="T50" i="15"/>
  <c r="S50" i="15"/>
  <c r="S96" i="15" s="1"/>
  <c r="R50" i="15"/>
  <c r="X49" i="15"/>
  <c r="W49" i="15"/>
  <c r="V49" i="15"/>
  <c r="V95" i="15" s="1"/>
  <c r="U49" i="15"/>
  <c r="T49" i="15"/>
  <c r="S49" i="15"/>
  <c r="R49" i="15"/>
  <c r="R95" i="15" s="1"/>
  <c r="X48" i="15"/>
  <c r="W48" i="15"/>
  <c r="V48" i="15"/>
  <c r="U48" i="15"/>
  <c r="T48" i="15"/>
  <c r="S48" i="15"/>
  <c r="R48" i="15"/>
  <c r="X47" i="15"/>
  <c r="X93" i="15" s="1"/>
  <c r="W47" i="15"/>
  <c r="V47" i="15"/>
  <c r="U47" i="15"/>
  <c r="T47" i="15"/>
  <c r="S47" i="15"/>
  <c r="R47" i="15"/>
  <c r="X46" i="15"/>
  <c r="W46" i="15"/>
  <c r="W92" i="15" s="1"/>
  <c r="V46" i="15"/>
  <c r="U46" i="15"/>
  <c r="T46" i="15"/>
  <c r="S46" i="15"/>
  <c r="S95" i="15" s="1"/>
  <c r="R46" i="15"/>
  <c r="X45" i="15"/>
  <c r="W45" i="15"/>
  <c r="V45" i="15"/>
  <c r="V94" i="15" s="1"/>
  <c r="U45" i="15"/>
  <c r="T45" i="15"/>
  <c r="S45" i="15"/>
  <c r="R45" i="15"/>
  <c r="R93" i="15" s="1"/>
  <c r="X44" i="15"/>
  <c r="W44" i="15"/>
  <c r="V44" i="15"/>
  <c r="U44" i="15"/>
  <c r="U93" i="15" s="1"/>
  <c r="T44" i="15"/>
  <c r="S44" i="15"/>
  <c r="R44" i="15"/>
  <c r="X43" i="15"/>
  <c r="X92" i="15" s="1"/>
  <c r="W43" i="15"/>
  <c r="V43" i="15"/>
  <c r="U43" i="15"/>
  <c r="T43" i="15"/>
  <c r="T89" i="15" s="1"/>
  <c r="S43" i="15"/>
  <c r="R43" i="15"/>
  <c r="X42" i="15"/>
  <c r="W42" i="15"/>
  <c r="W91" i="15" s="1"/>
  <c r="V42" i="15"/>
  <c r="U42" i="15"/>
  <c r="T42" i="15"/>
  <c r="S42" i="15"/>
  <c r="S91" i="15" s="1"/>
  <c r="R42" i="15"/>
  <c r="X41" i="15"/>
  <c r="W41" i="15"/>
  <c r="V41" i="15"/>
  <c r="V90" i="15" s="1"/>
  <c r="U41" i="15"/>
  <c r="T41" i="15"/>
  <c r="S41" i="15"/>
  <c r="R41" i="15"/>
  <c r="R89" i="15" s="1"/>
  <c r="X40" i="15"/>
  <c r="W40" i="15"/>
  <c r="V40" i="15"/>
  <c r="U40" i="15"/>
  <c r="U89" i="15" s="1"/>
  <c r="T40" i="15"/>
  <c r="S40" i="15"/>
  <c r="R40" i="15"/>
  <c r="X39" i="15"/>
  <c r="X88" i="15" s="1"/>
  <c r="W39" i="15"/>
  <c r="V39" i="15"/>
  <c r="U39" i="15"/>
  <c r="T39" i="15"/>
  <c r="T87" i="15" s="1"/>
  <c r="S39" i="15"/>
  <c r="R39" i="15"/>
  <c r="X38" i="15"/>
  <c r="W38" i="15"/>
  <c r="W87" i="15" s="1"/>
  <c r="V38" i="15"/>
  <c r="U38" i="15"/>
  <c r="T38" i="15"/>
  <c r="S38" i="15"/>
  <c r="S87" i="15" s="1"/>
  <c r="R38" i="15"/>
  <c r="X37" i="15"/>
  <c r="W37" i="15"/>
  <c r="V37" i="15"/>
  <c r="V86" i="15" s="1"/>
  <c r="U37" i="15"/>
  <c r="T37" i="15"/>
  <c r="S37" i="15"/>
  <c r="R37" i="15"/>
  <c r="R85" i="15" s="1"/>
  <c r="X36" i="15"/>
  <c r="W36" i="15"/>
  <c r="V36" i="15"/>
  <c r="U36" i="15"/>
  <c r="U85" i="15" s="1"/>
  <c r="T36" i="15"/>
  <c r="S36" i="15"/>
  <c r="R36" i="15"/>
  <c r="X35" i="15"/>
  <c r="X84" i="15" s="1"/>
  <c r="W35" i="15"/>
  <c r="V35" i="15"/>
  <c r="U35" i="15"/>
  <c r="T35" i="15"/>
  <c r="T83" i="15" s="1"/>
  <c r="S35" i="15"/>
  <c r="R35" i="15"/>
  <c r="X34" i="15"/>
  <c r="W34" i="15"/>
  <c r="W83" i="15" s="1"/>
  <c r="V34" i="15"/>
  <c r="U34" i="15"/>
  <c r="T34" i="15"/>
  <c r="S34" i="15"/>
  <c r="S83" i="15" s="1"/>
  <c r="R34" i="15"/>
  <c r="X33" i="15"/>
  <c r="W33" i="15"/>
  <c r="V33" i="15"/>
  <c r="V82" i="15" s="1"/>
  <c r="U33" i="15"/>
  <c r="T33" i="15"/>
  <c r="S33" i="15"/>
  <c r="R33" i="15"/>
  <c r="R81" i="15" s="1"/>
  <c r="X32" i="15"/>
  <c r="W32" i="15"/>
  <c r="V32" i="15"/>
  <c r="U32" i="15"/>
  <c r="U81" i="15" s="1"/>
  <c r="T32" i="15"/>
  <c r="S32" i="15"/>
  <c r="R32" i="15"/>
  <c r="X31" i="15"/>
  <c r="X80" i="15" s="1"/>
  <c r="W31" i="15"/>
  <c r="V31" i="15"/>
  <c r="U31" i="15"/>
  <c r="T31" i="15"/>
  <c r="T80" i="15" s="1"/>
  <c r="S31" i="15"/>
  <c r="R31" i="15"/>
  <c r="X30" i="15"/>
  <c r="W30" i="15"/>
  <c r="W79" i="15" s="1"/>
  <c r="V30" i="15"/>
  <c r="U30" i="15"/>
  <c r="T30" i="15"/>
  <c r="S30" i="15"/>
  <c r="S79" i="15" s="1"/>
  <c r="R30" i="15"/>
  <c r="X29" i="15"/>
  <c r="W29" i="15"/>
  <c r="V29" i="15"/>
  <c r="V78" i="15" s="1"/>
  <c r="U29" i="15"/>
  <c r="T29" i="15"/>
  <c r="S29" i="15"/>
  <c r="R29" i="15"/>
  <c r="X28" i="15"/>
  <c r="W28" i="15"/>
  <c r="V28" i="15"/>
  <c r="U28" i="15"/>
  <c r="U77" i="15" s="1"/>
  <c r="T28" i="15"/>
  <c r="S28" i="15"/>
  <c r="R28" i="15"/>
  <c r="X27" i="15"/>
  <c r="X76" i="15" s="1"/>
  <c r="W27" i="15"/>
  <c r="V27" i="15"/>
  <c r="U27" i="15"/>
  <c r="T27" i="15"/>
  <c r="T76" i="15" s="1"/>
  <c r="S27" i="15"/>
  <c r="R27" i="15"/>
  <c r="X26" i="15"/>
  <c r="W26" i="15"/>
  <c r="W75" i="15" s="1"/>
  <c r="V26" i="15"/>
  <c r="U26" i="15"/>
  <c r="T26" i="15"/>
  <c r="S26" i="15"/>
  <c r="S75" i="15" s="1"/>
  <c r="R26" i="15"/>
  <c r="X25" i="15"/>
  <c r="W25" i="15"/>
  <c r="V25" i="15"/>
  <c r="V74" i="15" s="1"/>
  <c r="U25" i="15"/>
  <c r="T25" i="15"/>
  <c r="S25" i="15"/>
  <c r="R25" i="15"/>
  <c r="X24" i="15"/>
  <c r="W24" i="15"/>
  <c r="V24" i="15"/>
  <c r="U24" i="15"/>
  <c r="U72" i="15" s="1"/>
  <c r="T24" i="15"/>
  <c r="S24" i="15"/>
  <c r="R24" i="15"/>
  <c r="X23" i="15"/>
  <c r="X69" i="15" s="1"/>
  <c r="W23" i="15"/>
  <c r="V23" i="15"/>
  <c r="U23" i="15"/>
  <c r="T23" i="15"/>
  <c r="Y23" i="15" s="1"/>
  <c r="F116" i="26" s="1"/>
  <c r="S23" i="15"/>
  <c r="R23" i="15"/>
  <c r="X22" i="15"/>
  <c r="W22" i="15"/>
  <c r="W70" i="15" s="1"/>
  <c r="V22" i="15"/>
  <c r="U22" i="15"/>
  <c r="T22" i="15"/>
  <c r="S22" i="15"/>
  <c r="S70" i="15" s="1"/>
  <c r="R22" i="15"/>
  <c r="X21" i="15"/>
  <c r="W21" i="15"/>
  <c r="V21" i="15"/>
  <c r="V69" i="15" s="1"/>
  <c r="U21" i="15"/>
  <c r="T21" i="15"/>
  <c r="S21" i="15"/>
  <c r="R21" i="15"/>
  <c r="Y21" i="15" s="1"/>
  <c r="F114" i="26" s="1"/>
  <c r="X20" i="15"/>
  <c r="W20" i="15"/>
  <c r="V20" i="15"/>
  <c r="U20" i="15"/>
  <c r="U66" i="15" s="1"/>
  <c r="T20" i="15"/>
  <c r="S20" i="15"/>
  <c r="R20" i="15"/>
  <c r="X19" i="15"/>
  <c r="X67" i="15" s="1"/>
  <c r="W19" i="15"/>
  <c r="V19" i="15"/>
  <c r="U19" i="15"/>
  <c r="T19" i="15"/>
  <c r="S19" i="15"/>
  <c r="R19" i="15"/>
  <c r="X18" i="15"/>
  <c r="W18" i="15"/>
  <c r="W66" i="15" s="1"/>
  <c r="V18" i="15"/>
  <c r="U18" i="15"/>
  <c r="T18" i="15"/>
  <c r="S18" i="15"/>
  <c r="S66" i="15" s="1"/>
  <c r="R18" i="15"/>
  <c r="X17" i="15"/>
  <c r="W17" i="15"/>
  <c r="V17" i="15"/>
  <c r="V65" i="15" s="1"/>
  <c r="U17" i="15"/>
  <c r="T17" i="15"/>
  <c r="S17" i="15"/>
  <c r="R17" i="15"/>
  <c r="X16" i="15"/>
  <c r="W16" i="15"/>
  <c r="V16" i="15"/>
  <c r="U16" i="15"/>
  <c r="U64" i="15" s="1"/>
  <c r="T16" i="15"/>
  <c r="S16" i="15"/>
  <c r="R16" i="15"/>
  <c r="X15" i="15"/>
  <c r="X63" i="15" s="1"/>
  <c r="W15" i="15"/>
  <c r="V15" i="15"/>
  <c r="U15" i="15"/>
  <c r="T15" i="15"/>
  <c r="T63" i="15" s="1"/>
  <c r="S15" i="15"/>
  <c r="R15" i="15"/>
  <c r="X14" i="15"/>
  <c r="W14" i="15"/>
  <c r="W60" i="15" s="1"/>
  <c r="V14" i="15"/>
  <c r="U14" i="15"/>
  <c r="T14" i="15"/>
  <c r="S14" i="15"/>
  <c r="R14" i="15"/>
  <c r="X13" i="15"/>
  <c r="W13" i="15"/>
  <c r="V13" i="15"/>
  <c r="V61" i="15" s="1"/>
  <c r="U13" i="15"/>
  <c r="T13" i="15"/>
  <c r="S13" i="15"/>
  <c r="R13" i="15"/>
  <c r="R61" i="15" s="1"/>
  <c r="X12" i="15"/>
  <c r="W12" i="15"/>
  <c r="V12" i="15"/>
  <c r="U12" i="15"/>
  <c r="U60" i="15" s="1"/>
  <c r="T12" i="15"/>
  <c r="S12" i="15"/>
  <c r="R12" i="15"/>
  <c r="X11" i="15"/>
  <c r="X59" i="15" s="1"/>
  <c r="W11" i="15"/>
  <c r="V11" i="15"/>
  <c r="U11" i="15"/>
  <c r="T11" i="15"/>
  <c r="T59" i="15" s="1"/>
  <c r="S11" i="15"/>
  <c r="R11" i="15"/>
  <c r="X10" i="15"/>
  <c r="W10" i="15"/>
  <c r="W59" i="15" s="1"/>
  <c r="V10" i="15"/>
  <c r="U10" i="15"/>
  <c r="T10" i="15"/>
  <c r="S10" i="15"/>
  <c r="S59" i="15" s="1"/>
  <c r="R10" i="15"/>
  <c r="X9" i="15"/>
  <c r="W9" i="15"/>
  <c r="V9" i="15"/>
  <c r="V58" i="15" s="1"/>
  <c r="U9" i="15"/>
  <c r="T9" i="15"/>
  <c r="S9" i="15"/>
  <c r="R9" i="15"/>
  <c r="R58" i="15" s="1"/>
  <c r="U74" i="15"/>
  <c r="F5" i="15"/>
  <c r="F4" i="15"/>
  <c r="F3" i="15"/>
  <c r="A5" i="15"/>
  <c r="A4" i="15"/>
  <c r="A3" i="15"/>
  <c r="R74" i="15" l="1"/>
  <c r="R78" i="15"/>
  <c r="R65" i="15"/>
  <c r="Y19" i="15"/>
  <c r="F112" i="26" s="1"/>
  <c r="V77" i="15"/>
  <c r="Y17" i="15"/>
  <c r="F110" i="26" s="1"/>
  <c r="V83" i="15"/>
  <c r="Y44" i="15"/>
  <c r="F137" i="26" s="1"/>
  <c r="H137" i="26" s="1"/>
  <c r="V89" i="15"/>
  <c r="X61" i="15"/>
  <c r="W76" i="15"/>
  <c r="W84" i="15"/>
  <c r="X71" i="15"/>
  <c r="X79" i="15"/>
  <c r="W58" i="15"/>
  <c r="W62" i="15"/>
  <c r="W68" i="15"/>
  <c r="W82" i="15"/>
  <c r="X85" i="15"/>
  <c r="W90" i="15"/>
  <c r="Y14" i="15"/>
  <c r="F107" i="26" s="1"/>
  <c r="G107" i="26" s="1"/>
  <c r="W74" i="15"/>
  <c r="X77" i="15"/>
  <c r="W86" i="15"/>
  <c r="X91" i="15"/>
  <c r="W100" i="15"/>
  <c r="W73" i="15"/>
  <c r="X74" i="15"/>
  <c r="W77" i="15"/>
  <c r="X78" i="15"/>
  <c r="W81" i="15"/>
  <c r="X82" i="15"/>
  <c r="W85" i="15"/>
  <c r="X86" i="15"/>
  <c r="W89" i="15"/>
  <c r="X90" i="15"/>
  <c r="W93" i="15"/>
  <c r="X94" i="15"/>
  <c r="W97" i="15"/>
  <c r="X98" i="15"/>
  <c r="W101" i="15"/>
  <c r="X102" i="15"/>
  <c r="X75" i="15"/>
  <c r="W78" i="15"/>
  <c r="X83" i="15"/>
  <c r="X87" i="15"/>
  <c r="Y22" i="15"/>
  <c r="F115" i="26" s="1"/>
  <c r="Y54" i="15"/>
  <c r="F147" i="26" s="1"/>
  <c r="H147" i="26" s="1"/>
  <c r="U68" i="15"/>
  <c r="T71" i="15"/>
  <c r="U80" i="15"/>
  <c r="S100" i="15"/>
  <c r="Y27" i="15"/>
  <c r="F120" i="26" s="1"/>
  <c r="G120" i="26" s="1"/>
  <c r="T65" i="15"/>
  <c r="S82" i="15"/>
  <c r="T91" i="15"/>
  <c r="S94" i="15"/>
  <c r="Y11" i="15"/>
  <c r="F104" i="26" s="1"/>
  <c r="G104" i="26" s="1"/>
  <c r="Y34" i="15"/>
  <c r="F127" i="26" s="1"/>
  <c r="S62" i="15"/>
  <c r="R73" i="15"/>
  <c r="R79" i="15"/>
  <c r="S88" i="15"/>
  <c r="Y13" i="15"/>
  <c r="F106" i="26" s="1"/>
  <c r="H106" i="26" s="1"/>
  <c r="Y18" i="15"/>
  <c r="F111" i="26" s="1"/>
  <c r="H111" i="26" s="1"/>
  <c r="Y29" i="15"/>
  <c r="F122" i="26" s="1"/>
  <c r="G122" i="26" s="1"/>
  <c r="Y36" i="15"/>
  <c r="F129" i="26" s="1"/>
  <c r="G129" i="26" s="1"/>
  <c r="Y46" i="15"/>
  <c r="F139" i="26" s="1"/>
  <c r="H139" i="26" s="1"/>
  <c r="S58" i="15"/>
  <c r="V59" i="15"/>
  <c r="S64" i="15"/>
  <c r="T67" i="15"/>
  <c r="T73" i="15"/>
  <c r="U76" i="15"/>
  <c r="T79" i="15"/>
  <c r="U82" i="15"/>
  <c r="V85" i="15"/>
  <c r="R87" i="15"/>
  <c r="U88" i="15"/>
  <c r="S90" i="15"/>
  <c r="V91" i="15"/>
  <c r="Y9" i="15"/>
  <c r="F102" i="26" s="1"/>
  <c r="Y25" i="15"/>
  <c r="F118" i="26" s="1"/>
  <c r="H118" i="26" s="1"/>
  <c r="Y30" i="15"/>
  <c r="F123" i="26" s="1"/>
  <c r="G123" i="26" s="1"/>
  <c r="Y38" i="15"/>
  <c r="F131" i="26" s="1"/>
  <c r="H131" i="26" s="1"/>
  <c r="Y50" i="15"/>
  <c r="F143" i="26" s="1"/>
  <c r="H143" i="26" s="1"/>
  <c r="U58" i="15"/>
  <c r="R63" i="15"/>
  <c r="V67" i="15"/>
  <c r="R69" i="15"/>
  <c r="S72" i="15"/>
  <c r="V73" i="15"/>
  <c r="T75" i="15"/>
  <c r="S78" i="15"/>
  <c r="T81" i="15"/>
  <c r="U84" i="15"/>
  <c r="U90" i="15"/>
  <c r="V93" i="15"/>
  <c r="U98" i="15"/>
  <c r="R72" i="15"/>
  <c r="V72" i="15"/>
  <c r="S73" i="15"/>
  <c r="T74" i="15"/>
  <c r="U75" i="15"/>
  <c r="R76" i="15"/>
  <c r="V76" i="15"/>
  <c r="S77" i="15"/>
  <c r="T78" i="15"/>
  <c r="U79" i="15"/>
  <c r="R80" i="15"/>
  <c r="V80" i="15"/>
  <c r="S81" i="15"/>
  <c r="T82" i="15"/>
  <c r="U83" i="15"/>
  <c r="R84" i="15"/>
  <c r="V84" i="15"/>
  <c r="S85" i="15"/>
  <c r="T86" i="15"/>
  <c r="U87" i="15"/>
  <c r="R88" i="15"/>
  <c r="V88" i="15"/>
  <c r="S89" i="15"/>
  <c r="T90" i="15"/>
  <c r="U91" i="15"/>
  <c r="R92" i="15"/>
  <c r="V92" i="15"/>
  <c r="S93" i="15"/>
  <c r="T94" i="15"/>
  <c r="U95" i="15"/>
  <c r="R96" i="15"/>
  <c r="V96" i="15"/>
  <c r="S97" i="15"/>
  <c r="T98" i="15"/>
  <c r="U99" i="15"/>
  <c r="R100" i="15"/>
  <c r="V100" i="15"/>
  <c r="S101" i="15"/>
  <c r="T102" i="15"/>
  <c r="Y10" i="15"/>
  <c r="F103" i="26" s="1"/>
  <c r="H103" i="26" s="1"/>
  <c r="Y15" i="15"/>
  <c r="F108" i="26" s="1"/>
  <c r="H108" i="26" s="1"/>
  <c r="Y26" i="15"/>
  <c r="F119" i="26" s="1"/>
  <c r="H119" i="26" s="1"/>
  <c r="Y31" i="15"/>
  <c r="F124" i="26" s="1"/>
  <c r="H124" i="26" s="1"/>
  <c r="Y42" i="15"/>
  <c r="F135" i="26" s="1"/>
  <c r="H135" i="26" s="1"/>
  <c r="R71" i="15"/>
  <c r="S74" i="15"/>
  <c r="V75" i="15"/>
  <c r="R77" i="15"/>
  <c r="S80" i="15"/>
  <c r="V81" i="15"/>
  <c r="S86" i="15"/>
  <c r="U92" i="15"/>
  <c r="U102" i="15"/>
  <c r="T58" i="15"/>
  <c r="T60" i="15"/>
  <c r="X58" i="15"/>
  <c r="X60" i="15"/>
  <c r="U59" i="15"/>
  <c r="U61" i="15"/>
  <c r="R60" i="15"/>
  <c r="R62" i="15"/>
  <c r="V60" i="15"/>
  <c r="V62" i="15"/>
  <c r="S61" i="15"/>
  <c r="S63" i="15"/>
  <c r="W61" i="15"/>
  <c r="W63" i="15"/>
  <c r="T62" i="15"/>
  <c r="T64" i="15"/>
  <c r="X62" i="15"/>
  <c r="X64" i="15"/>
  <c r="U63" i="15"/>
  <c r="U65" i="15"/>
  <c r="R64" i="15"/>
  <c r="R66" i="15"/>
  <c r="V64" i="15"/>
  <c r="V66" i="15"/>
  <c r="S65" i="15"/>
  <c r="S67" i="15"/>
  <c r="W65" i="15"/>
  <c r="W67" i="15"/>
  <c r="T66" i="15"/>
  <c r="T68" i="15"/>
  <c r="X66" i="15"/>
  <c r="X68" i="15"/>
  <c r="U67" i="15"/>
  <c r="U69" i="15"/>
  <c r="R68" i="15"/>
  <c r="R70" i="15"/>
  <c r="V68" i="15"/>
  <c r="V70" i="15"/>
  <c r="S69" i="15"/>
  <c r="S71" i="15"/>
  <c r="W69" i="15"/>
  <c r="W71" i="15"/>
  <c r="T70" i="15"/>
  <c r="T72" i="15"/>
  <c r="X70" i="15"/>
  <c r="X72" i="15"/>
  <c r="U71" i="15"/>
  <c r="U73" i="15"/>
  <c r="R82" i="15"/>
  <c r="Y33" i="15"/>
  <c r="F126" i="26" s="1"/>
  <c r="H126" i="26" s="1"/>
  <c r="Y35" i="15"/>
  <c r="F128" i="26" s="1"/>
  <c r="G128" i="26" s="1"/>
  <c r="T84" i="15"/>
  <c r="R86" i="15"/>
  <c r="Y37" i="15"/>
  <c r="F130" i="26" s="1"/>
  <c r="H130" i="26" s="1"/>
  <c r="Y39" i="15"/>
  <c r="F132" i="26" s="1"/>
  <c r="H132" i="26" s="1"/>
  <c r="T88" i="15"/>
  <c r="R90" i="15"/>
  <c r="Y41" i="15"/>
  <c r="F134" i="26" s="1"/>
  <c r="H134" i="26" s="1"/>
  <c r="Y43" i="15"/>
  <c r="F136" i="26" s="1"/>
  <c r="G136" i="26" s="1"/>
  <c r="T92" i="15"/>
  <c r="R94" i="15"/>
  <c r="Y45" i="15"/>
  <c r="F138" i="26" s="1"/>
  <c r="H138" i="26" s="1"/>
  <c r="W94" i="15"/>
  <c r="W95" i="15"/>
  <c r="Y95" i="15" s="1"/>
  <c r="P139" i="26" s="1"/>
  <c r="Y47" i="15"/>
  <c r="F140" i="26" s="1"/>
  <c r="G140" i="26" s="1"/>
  <c r="T95" i="15"/>
  <c r="T96" i="15"/>
  <c r="X95" i="15"/>
  <c r="X96" i="15"/>
  <c r="U96" i="15"/>
  <c r="U97" i="15"/>
  <c r="R97" i="15"/>
  <c r="R98" i="15"/>
  <c r="Y49" i="15"/>
  <c r="F142" i="26" s="1"/>
  <c r="H142" i="26" s="1"/>
  <c r="V97" i="15"/>
  <c r="V98" i="15"/>
  <c r="S98" i="15"/>
  <c r="S99" i="15"/>
  <c r="W98" i="15"/>
  <c r="W99" i="15"/>
  <c r="Y51" i="15"/>
  <c r="F144" i="26" s="1"/>
  <c r="H144" i="26" s="1"/>
  <c r="T99" i="15"/>
  <c r="T100" i="15"/>
  <c r="X99" i="15"/>
  <c r="X100" i="15"/>
  <c r="U100" i="15"/>
  <c r="U101" i="15"/>
  <c r="R101" i="15"/>
  <c r="R102" i="15"/>
  <c r="Y53" i="15"/>
  <c r="F146" i="26" s="1"/>
  <c r="H146" i="26" s="1"/>
  <c r="V101" i="15"/>
  <c r="V102" i="15"/>
  <c r="Y12" i="15"/>
  <c r="F105" i="26" s="1"/>
  <c r="G105" i="26" s="1"/>
  <c r="Y16" i="15"/>
  <c r="F109" i="26" s="1"/>
  <c r="G109" i="26" s="1"/>
  <c r="Y20" i="15"/>
  <c r="F113" i="26" s="1"/>
  <c r="H113" i="26" s="1"/>
  <c r="Y24" i="15"/>
  <c r="F117" i="26" s="1"/>
  <c r="G117" i="26" s="1"/>
  <c r="Y28" i="15"/>
  <c r="F121" i="26" s="1"/>
  <c r="G121" i="26" s="1"/>
  <c r="Y32" i="15"/>
  <c r="F125" i="26" s="1"/>
  <c r="H125" i="26" s="1"/>
  <c r="Y40" i="15"/>
  <c r="F133" i="26" s="1"/>
  <c r="G133" i="26" s="1"/>
  <c r="Y48" i="15"/>
  <c r="F141" i="26" s="1"/>
  <c r="H141" i="26" s="1"/>
  <c r="R59" i="15"/>
  <c r="S60" i="15"/>
  <c r="T61" i="15"/>
  <c r="U62" i="15"/>
  <c r="V63" i="15"/>
  <c r="W64" i="15"/>
  <c r="X65" i="15"/>
  <c r="R67" i="15"/>
  <c r="S68" i="15"/>
  <c r="T69" i="15"/>
  <c r="U70" i="15"/>
  <c r="V71" i="15"/>
  <c r="W72" i="15"/>
  <c r="X73" i="15"/>
  <c r="R75" i="15"/>
  <c r="S76" i="15"/>
  <c r="T77" i="15"/>
  <c r="U78" i="15"/>
  <c r="V79" i="15"/>
  <c r="W80" i="15"/>
  <c r="X81" i="15"/>
  <c r="R83" i="15"/>
  <c r="S84" i="15"/>
  <c r="T85" i="15"/>
  <c r="U86" i="15"/>
  <c r="V87" i="15"/>
  <c r="W88" i="15"/>
  <c r="X89" i="15"/>
  <c r="R91" i="15"/>
  <c r="S92" i="15"/>
  <c r="T93" i="15"/>
  <c r="U94" i="15"/>
  <c r="W96" i="15"/>
  <c r="R99" i="15"/>
  <c r="T101" i="15"/>
  <c r="G111" i="26"/>
  <c r="G131" i="26"/>
  <c r="H104" i="26"/>
  <c r="H112" i="26"/>
  <c r="G112" i="26"/>
  <c r="H116" i="26"/>
  <c r="G116" i="26"/>
  <c r="H128" i="26"/>
  <c r="H136" i="26"/>
  <c r="H140" i="26"/>
  <c r="H148" i="26"/>
  <c r="G148" i="26"/>
  <c r="G115" i="26"/>
  <c r="H115" i="26"/>
  <c r="H127" i="26"/>
  <c r="G127" i="26"/>
  <c r="H105" i="26"/>
  <c r="H117" i="26"/>
  <c r="H121" i="26"/>
  <c r="H129" i="26"/>
  <c r="H133" i="26"/>
  <c r="G141" i="26"/>
  <c r="H145" i="26"/>
  <c r="G145" i="26"/>
  <c r="H149" i="26"/>
  <c r="G149" i="26"/>
  <c r="H32" i="26"/>
  <c r="I32" i="26" s="1"/>
  <c r="G103" i="26"/>
  <c r="G106" i="26"/>
  <c r="H110" i="26"/>
  <c r="G110" i="26"/>
  <c r="H114" i="26"/>
  <c r="G114" i="26"/>
  <c r="H122" i="26"/>
  <c r="G119" i="26"/>
  <c r="G147" i="26"/>
  <c r="E4" i="16"/>
  <c r="E5" i="16"/>
  <c r="K4" i="16"/>
  <c r="K5" i="16"/>
  <c r="C4" i="15"/>
  <c r="C5" i="15"/>
  <c r="H4" i="15"/>
  <c r="H5" i="15"/>
  <c r="B4" i="17"/>
  <c r="B5" i="17"/>
  <c r="H4" i="17"/>
  <c r="H5" i="17"/>
  <c r="D4" i="30"/>
  <c r="D5" i="30"/>
  <c r="I4" i="30"/>
  <c r="I5" i="30"/>
  <c r="I3" i="30"/>
  <c r="H3" i="17"/>
  <c r="H3" i="15"/>
  <c r="K3" i="16"/>
  <c r="D3" i="30"/>
  <c r="B3" i="17"/>
  <c r="C3" i="15"/>
  <c r="E3" i="16"/>
  <c r="C41" i="22"/>
  <c r="H120" i="26" l="1"/>
  <c r="Y76" i="15"/>
  <c r="P120" i="26" s="1"/>
  <c r="R120" i="26" s="1"/>
  <c r="G137" i="26"/>
  <c r="G139" i="26"/>
  <c r="G108" i="26"/>
  <c r="H123" i="26"/>
  <c r="Y99" i="15"/>
  <c r="P143" i="26" s="1"/>
  <c r="Y92" i="15"/>
  <c r="P136" i="26" s="1"/>
  <c r="Y67" i="15"/>
  <c r="P111" i="26" s="1"/>
  <c r="Y66" i="15"/>
  <c r="P110" i="26" s="1"/>
  <c r="R110" i="26" s="1"/>
  <c r="Y86" i="15"/>
  <c r="P130" i="26" s="1"/>
  <c r="Y102" i="15"/>
  <c r="P146" i="26" s="1"/>
  <c r="R146" i="26" s="1"/>
  <c r="Y78" i="15"/>
  <c r="P122" i="26" s="1"/>
  <c r="Q122" i="26" s="1"/>
  <c r="Y59" i="15"/>
  <c r="P103" i="26" s="1"/>
  <c r="R103" i="26" s="1"/>
  <c r="Y91" i="15"/>
  <c r="P135" i="26" s="1"/>
  <c r="G144" i="26"/>
  <c r="Y85" i="15"/>
  <c r="P129" i="26" s="1"/>
  <c r="H107" i="26"/>
  <c r="Y83" i="15"/>
  <c r="P127" i="26" s="1"/>
  <c r="Q127" i="26" s="1"/>
  <c r="Y62" i="15"/>
  <c r="P106" i="26" s="1"/>
  <c r="Q106" i="26" s="1"/>
  <c r="Y89" i="15"/>
  <c r="P133" i="26" s="1"/>
  <c r="Q133" i="26" s="1"/>
  <c r="Y82" i="15"/>
  <c r="P126" i="26" s="1"/>
  <c r="R126" i="26" s="1"/>
  <c r="Y73" i="15"/>
  <c r="P117" i="26" s="1"/>
  <c r="R117" i="26" s="1"/>
  <c r="G146" i="26"/>
  <c r="H109" i="26"/>
  <c r="R133" i="26"/>
  <c r="G124" i="26"/>
  <c r="G143" i="26"/>
  <c r="G130" i="26"/>
  <c r="G138" i="26"/>
  <c r="Y75" i="15"/>
  <c r="P119" i="26" s="1"/>
  <c r="R119" i="26" s="1"/>
  <c r="Y94" i="15"/>
  <c r="P138" i="26" s="1"/>
  <c r="R138" i="26" s="1"/>
  <c r="Y65" i="15"/>
  <c r="P109" i="26" s="1"/>
  <c r="Q109" i="26" s="1"/>
  <c r="Y90" i="15"/>
  <c r="P134" i="26" s="1"/>
  <c r="Q134" i="26" s="1"/>
  <c r="Y87" i="15"/>
  <c r="P131" i="26" s="1"/>
  <c r="Q131" i="26" s="1"/>
  <c r="Y80" i="15"/>
  <c r="P124" i="26" s="1"/>
  <c r="R124" i="26" s="1"/>
  <c r="Y74" i="15"/>
  <c r="P118" i="26" s="1"/>
  <c r="R118" i="26" s="1"/>
  <c r="Y72" i="15"/>
  <c r="P116" i="26" s="1"/>
  <c r="R116" i="26" s="1"/>
  <c r="Y79" i="15"/>
  <c r="P123" i="26" s="1"/>
  <c r="Q123" i="26" s="1"/>
  <c r="Q129" i="26"/>
  <c r="R129" i="26"/>
  <c r="G125" i="26"/>
  <c r="Y81" i="15"/>
  <c r="P125" i="26" s="1"/>
  <c r="R125" i="26" s="1"/>
  <c r="Y77" i="15"/>
  <c r="P121" i="26" s="1"/>
  <c r="R121" i="26" s="1"/>
  <c r="G135" i="26"/>
  <c r="G142" i="26"/>
  <c r="G134" i="26"/>
  <c r="G126" i="26"/>
  <c r="G118" i="26"/>
  <c r="Y63" i="15"/>
  <c r="P107" i="26" s="1"/>
  <c r="Q107" i="26" s="1"/>
  <c r="Y93" i="15"/>
  <c r="P137" i="26" s="1"/>
  <c r="Q137" i="26" s="1"/>
  <c r="Y88" i="15"/>
  <c r="P132" i="26" s="1"/>
  <c r="Q132" i="26" s="1"/>
  <c r="Y84" i="15"/>
  <c r="P128" i="26" s="1"/>
  <c r="Q128" i="26" s="1"/>
  <c r="Y100" i="15"/>
  <c r="P144" i="26" s="1"/>
  <c r="Q144" i="26" s="1"/>
  <c r="Y98" i="15"/>
  <c r="P142" i="26" s="1"/>
  <c r="R142" i="26" s="1"/>
  <c r="Y96" i="15"/>
  <c r="P140" i="26" s="1"/>
  <c r="Q140" i="26" s="1"/>
  <c r="Y71" i="15"/>
  <c r="P115" i="26" s="1"/>
  <c r="Q115" i="26" s="1"/>
  <c r="Y70" i="15"/>
  <c r="P114" i="26" s="1"/>
  <c r="R114" i="26" s="1"/>
  <c r="Y69" i="15"/>
  <c r="P113" i="26" s="1"/>
  <c r="R113" i="26" s="1"/>
  <c r="Y68" i="15"/>
  <c r="P112" i="26" s="1"/>
  <c r="Q112" i="26" s="1"/>
  <c r="Y64" i="15"/>
  <c r="P108" i="26" s="1"/>
  <c r="R108" i="26" s="1"/>
  <c r="Y61" i="15"/>
  <c r="P105" i="26" s="1"/>
  <c r="R105" i="26" s="1"/>
  <c r="Y60" i="15"/>
  <c r="P104" i="26" s="1"/>
  <c r="R104" i="26" s="1"/>
  <c r="N32" i="26"/>
  <c r="Q121" i="26"/>
  <c r="G113" i="26"/>
  <c r="G132" i="26"/>
  <c r="Y58" i="15"/>
  <c r="P102" i="26" s="1"/>
  <c r="H33" i="26"/>
  <c r="Y101" i="15"/>
  <c r="P145" i="26" s="1"/>
  <c r="Y97" i="15"/>
  <c r="P141" i="26" s="1"/>
  <c r="Q111" i="26"/>
  <c r="R111" i="26"/>
  <c r="R134" i="26"/>
  <c r="R130" i="26"/>
  <c r="Q130" i="26"/>
  <c r="Q135" i="26"/>
  <c r="R135" i="26"/>
  <c r="G102" i="26"/>
  <c r="H102" i="26"/>
  <c r="Q120" i="26"/>
  <c r="R132" i="26"/>
  <c r="Q116" i="26"/>
  <c r="R106" i="26"/>
  <c r="Q139" i="26"/>
  <c r="R139" i="26"/>
  <c r="Q136" i="26"/>
  <c r="R136" i="26"/>
  <c r="Q146" i="26"/>
  <c r="Q138" i="26"/>
  <c r="Q143" i="26"/>
  <c r="R143" i="26"/>
  <c r="R109" i="26"/>
  <c r="Q124" i="26"/>
  <c r="C65" i="21"/>
  <c r="C66" i="21"/>
  <c r="C64" i="21"/>
  <c r="C62" i="21"/>
  <c r="C63" i="21"/>
  <c r="C61" i="21"/>
  <c r="A30" i="21"/>
  <c r="Q118" i="26" l="1"/>
  <c r="Q103" i="26"/>
  <c r="R122" i="26"/>
  <c r="R112" i="26"/>
  <c r="R128" i="26"/>
  <c r="Q108" i="26"/>
  <c r="Q110" i="26"/>
  <c r="R115" i="26"/>
  <c r="Q126" i="26"/>
  <c r="R140" i="26"/>
  <c r="Q119" i="26"/>
  <c r="R144" i="26"/>
  <c r="Q105" i="26"/>
  <c r="R127" i="26"/>
  <c r="Q114" i="26"/>
  <c r="R131" i="26"/>
  <c r="R123" i="26"/>
  <c r="Q117" i="26"/>
  <c r="R107" i="26"/>
  <c r="Q113" i="26"/>
  <c r="Q142" i="26"/>
  <c r="Q104" i="26"/>
  <c r="N33" i="26"/>
  <c r="N34" i="26" s="1"/>
  <c r="Q125" i="26"/>
  <c r="R137" i="26"/>
  <c r="R141" i="26"/>
  <c r="Q141" i="26"/>
  <c r="Q145" i="26"/>
  <c r="R145" i="26"/>
  <c r="R102" i="26"/>
  <c r="Q102" i="26"/>
  <c r="J10" i="16"/>
  <c r="F10" i="16"/>
  <c r="B102" i="15" l="1"/>
  <c r="C102" i="15"/>
  <c r="D102" i="15"/>
  <c r="E102" i="15"/>
  <c r="F102" i="15"/>
  <c r="G102" i="15"/>
  <c r="H102" i="15"/>
  <c r="J102" i="15"/>
  <c r="K102" i="15"/>
  <c r="L102" i="15"/>
  <c r="M102" i="15"/>
  <c r="N102" i="15"/>
  <c r="O102" i="15"/>
  <c r="P102" i="15"/>
  <c r="Q102" i="15" l="1"/>
  <c r="I102" i="15"/>
  <c r="Q56" i="15"/>
  <c r="Q55" i="15"/>
  <c r="Q54" i="15"/>
  <c r="Q53" i="15"/>
  <c r="Q52" i="15"/>
  <c r="Q51" i="15"/>
  <c r="Q50" i="15"/>
  <c r="Q49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I54" i="15"/>
  <c r="I55" i="15"/>
  <c r="I56" i="15"/>
  <c r="G33" i="26" l="1"/>
  <c r="B41" i="26" s="1"/>
  <c r="A9" i="15"/>
  <c r="P26" i="26"/>
  <c r="A58" i="15" l="1"/>
  <c r="A56" i="30" s="1"/>
  <c r="E102" i="26"/>
  <c r="M102" i="26" s="1"/>
  <c r="A10" i="15"/>
  <c r="A7" i="30"/>
  <c r="A11" i="17"/>
  <c r="O102" i="26" l="1"/>
  <c r="W102" i="26" s="1"/>
  <c r="A60" i="17"/>
  <c r="A12" i="17"/>
  <c r="E103" i="26"/>
  <c r="M103" i="26" s="1"/>
  <c r="A8" i="30"/>
  <c r="A11" i="15"/>
  <c r="E104" i="26" s="1"/>
  <c r="M104" i="26" s="1"/>
  <c r="A59" i="15"/>
  <c r="O103" i="26" l="1"/>
  <c r="W103" i="26" s="1"/>
  <c r="A61" i="17"/>
  <c r="A57" i="30"/>
  <c r="A13" i="17"/>
  <c r="A9" i="30"/>
  <c r="A60" i="15"/>
  <c r="A12" i="15"/>
  <c r="E105" i="26" s="1"/>
  <c r="M105" i="26" s="1"/>
  <c r="O104" i="26" l="1"/>
  <c r="W104" i="26" s="1"/>
  <c r="A13" i="15"/>
  <c r="E106" i="26" s="1"/>
  <c r="M106" i="26" s="1"/>
  <c r="A61" i="15"/>
  <c r="A10" i="30"/>
  <c r="A14" i="17"/>
  <c r="A62" i="17"/>
  <c r="A58" i="30"/>
  <c r="O105" i="26" l="1"/>
  <c r="W105" i="26" s="1"/>
  <c r="A63" i="17"/>
  <c r="A59" i="30"/>
  <c r="A11" i="30"/>
  <c r="A15" i="17"/>
  <c r="A14" i="15"/>
  <c r="E107" i="26" s="1"/>
  <c r="M107" i="26" s="1"/>
  <c r="A62" i="15"/>
  <c r="O106" i="26" l="1"/>
  <c r="W106" i="26" s="1"/>
  <c r="A60" i="30"/>
  <c r="A64" i="17"/>
  <c r="A15" i="15"/>
  <c r="E108" i="26" s="1"/>
  <c r="M108" i="26" s="1"/>
  <c r="A12" i="30"/>
  <c r="A16" i="17"/>
  <c r="A63" i="15"/>
  <c r="O107" i="26" l="1"/>
  <c r="W107" i="26" s="1"/>
  <c r="A61" i="30"/>
  <c r="A65" i="17"/>
  <c r="A13" i="30"/>
  <c r="A16" i="15"/>
  <c r="E109" i="26" s="1"/>
  <c r="M109" i="26" s="1"/>
  <c r="A17" i="17"/>
  <c r="A64" i="15"/>
  <c r="O108" i="26" l="1"/>
  <c r="W108" i="26" s="1"/>
  <c r="A62" i="30"/>
  <c r="A66" i="17"/>
  <c r="A18" i="17"/>
  <c r="A17" i="15"/>
  <c r="E110" i="26" s="1"/>
  <c r="M110" i="26" s="1"/>
  <c r="A14" i="30"/>
  <c r="A65" i="15"/>
  <c r="O109" i="26" l="1"/>
  <c r="W109" i="26" s="1"/>
  <c r="A18" i="15"/>
  <c r="E111" i="26" s="1"/>
  <c r="M111" i="26" s="1"/>
  <c r="A66" i="15"/>
  <c r="A15" i="30"/>
  <c r="A19" i="17"/>
  <c r="A63" i="30"/>
  <c r="A67" i="17"/>
  <c r="O110" i="26" l="1"/>
  <c r="W110" i="26" s="1"/>
  <c r="A64" i="30"/>
  <c r="A68" i="17"/>
  <c r="A20" i="17"/>
  <c r="A67" i="15"/>
  <c r="A19" i="15"/>
  <c r="E112" i="26" s="1"/>
  <c r="M112" i="26" s="1"/>
  <c r="A16" i="30"/>
  <c r="O111" i="26" l="1"/>
  <c r="W111" i="26" s="1"/>
  <c r="A17" i="30"/>
  <c r="A21" i="17"/>
  <c r="A20" i="15"/>
  <c r="E113" i="26" s="1"/>
  <c r="M113" i="26" s="1"/>
  <c r="A68" i="15"/>
  <c r="A65" i="30"/>
  <c r="A69" i="17"/>
  <c r="O112" i="26" l="1"/>
  <c r="W112" i="26" s="1"/>
  <c r="A66" i="30"/>
  <c r="A70" i="17"/>
  <c r="A21" i="15"/>
  <c r="E114" i="26" s="1"/>
  <c r="M114" i="26" s="1"/>
  <c r="A69" i="15"/>
  <c r="A18" i="30"/>
  <c r="A22" i="17"/>
  <c r="O113" i="26" l="1"/>
  <c r="W113" i="26" s="1"/>
  <c r="A67" i="30"/>
  <c r="A71" i="17"/>
  <c r="A22" i="15"/>
  <c r="E115" i="26" s="1"/>
  <c r="M115" i="26" s="1"/>
  <c r="A19" i="30"/>
  <c r="A70" i="15"/>
  <c r="A23" i="17"/>
  <c r="O114" i="26" l="1"/>
  <c r="W114" i="26" s="1"/>
  <c r="A23" i="15"/>
  <c r="E116" i="26" s="1"/>
  <c r="M116" i="26" s="1"/>
  <c r="A20" i="30"/>
  <c r="A24" i="17"/>
  <c r="A71" i="15"/>
  <c r="A68" i="30"/>
  <c r="A72" i="17"/>
  <c r="O115" i="26" l="1"/>
  <c r="W115" i="26" s="1"/>
  <c r="A69" i="30"/>
  <c r="A73" i="17"/>
  <c r="A21" i="30"/>
  <c r="A24" i="15"/>
  <c r="E117" i="26" s="1"/>
  <c r="M117" i="26" s="1"/>
  <c r="A25" i="17"/>
  <c r="A72" i="15"/>
  <c r="O116" i="26" l="1"/>
  <c r="W116" i="26" s="1"/>
  <c r="A26" i="17"/>
  <c r="A22" i="30"/>
  <c r="A25" i="15"/>
  <c r="E118" i="26" s="1"/>
  <c r="M118" i="26" s="1"/>
  <c r="A73" i="15"/>
  <c r="A70" i="30"/>
  <c r="A74" i="17"/>
  <c r="O117" i="26" l="1"/>
  <c r="W117" i="26" s="1"/>
  <c r="A27" i="17"/>
  <c r="A26" i="15"/>
  <c r="E119" i="26" s="1"/>
  <c r="M119" i="26" s="1"/>
  <c r="A74" i="15"/>
  <c r="A23" i="30"/>
  <c r="A71" i="30"/>
  <c r="A75" i="17"/>
  <c r="O118" i="26" l="1"/>
  <c r="W118" i="26" s="1"/>
  <c r="A72" i="30"/>
  <c r="A76" i="17"/>
  <c r="A27" i="15"/>
  <c r="E120" i="26" s="1"/>
  <c r="M120" i="26" s="1"/>
  <c r="A24" i="30"/>
  <c r="A28" i="17"/>
  <c r="A75" i="15"/>
  <c r="O119" i="26" l="1"/>
  <c r="W119" i="26" s="1"/>
  <c r="A73" i="30"/>
  <c r="A77" i="17"/>
  <c r="A25" i="30"/>
  <c r="A28" i="15"/>
  <c r="A29" i="17"/>
  <c r="A76" i="15"/>
  <c r="E121" i="26" l="1"/>
  <c r="M121" i="26" s="1"/>
  <c r="A26" i="30"/>
  <c r="O120" i="26"/>
  <c r="W120" i="26" s="1"/>
  <c r="A29" i="15"/>
  <c r="E122" i="26" s="1"/>
  <c r="M122" i="26" s="1"/>
  <c r="A77" i="15"/>
  <c r="A30" i="17"/>
  <c r="A74" i="30"/>
  <c r="A78" i="17"/>
  <c r="O121" i="26" l="1"/>
  <c r="W121" i="26" s="1"/>
  <c r="A79" i="17"/>
  <c r="A75" i="30"/>
  <c r="A30" i="15"/>
  <c r="E123" i="26" s="1"/>
  <c r="M123" i="26" s="1"/>
  <c r="A78" i="15"/>
  <c r="A27" i="30"/>
  <c r="A31" i="17"/>
  <c r="O122" i="26" l="1"/>
  <c r="W122" i="26" s="1"/>
  <c r="A76" i="30"/>
  <c r="A80" i="17"/>
  <c r="A32" i="17"/>
  <c r="A79" i="15"/>
  <c r="A31" i="15"/>
  <c r="E124" i="26" s="1"/>
  <c r="M124" i="26" s="1"/>
  <c r="A28" i="30"/>
  <c r="O123" i="26" l="1"/>
  <c r="W123" i="26" s="1"/>
  <c r="A32" i="15"/>
  <c r="E125" i="26" s="1"/>
  <c r="M125" i="26" s="1"/>
  <c r="A33" i="17"/>
  <c r="A29" i="30"/>
  <c r="A80" i="15"/>
  <c r="A77" i="30"/>
  <c r="A81" i="17"/>
  <c r="C7" i="17"/>
  <c r="G7" i="17"/>
  <c r="F8" i="16"/>
  <c r="B8" i="16"/>
  <c r="O124" i="26" l="1"/>
  <c r="W124" i="26" s="1"/>
  <c r="A78" i="30"/>
  <c r="A82" i="17"/>
  <c r="A33" i="15"/>
  <c r="E126" i="26" s="1"/>
  <c r="M126" i="26" s="1"/>
  <c r="A81" i="15"/>
  <c r="A30" i="30"/>
  <c r="A34" i="17"/>
  <c r="F73" i="26"/>
  <c r="F45" i="26"/>
  <c r="N72" i="26"/>
  <c r="O125" i="26" l="1"/>
  <c r="W125" i="26" s="1"/>
  <c r="A79" i="30"/>
  <c r="A83" i="17"/>
  <c r="A34" i="15"/>
  <c r="E127" i="26" s="1"/>
  <c r="M127" i="26" s="1"/>
  <c r="A82" i="15"/>
  <c r="A31" i="30"/>
  <c r="A35" i="17"/>
  <c r="H45" i="26"/>
  <c r="H73" i="26" s="1"/>
  <c r="G45" i="26"/>
  <c r="G73" i="26" s="1"/>
  <c r="P5" i="30"/>
  <c r="P4" i="30"/>
  <c r="O126" i="26" l="1"/>
  <c r="W126" i="26" s="1"/>
  <c r="A80" i="30"/>
  <c r="A84" i="17"/>
  <c r="A36" i="17"/>
  <c r="A83" i="15"/>
  <c r="A35" i="15"/>
  <c r="E128" i="26" s="1"/>
  <c r="M128" i="26" s="1"/>
  <c r="A32" i="30"/>
  <c r="K45" i="26"/>
  <c r="O127" i="26" l="1"/>
  <c r="W127" i="26" s="1"/>
  <c r="A33" i="30"/>
  <c r="A36" i="15"/>
  <c r="A37" i="17"/>
  <c r="A84" i="15"/>
  <c r="A85" i="17"/>
  <c r="A81" i="30"/>
  <c r="N45" i="26"/>
  <c r="K73" i="26"/>
  <c r="E129" i="26" l="1"/>
  <c r="M129" i="26" s="1"/>
  <c r="V105" i="26"/>
  <c r="V109" i="26"/>
  <c r="V113" i="26"/>
  <c r="V117" i="26"/>
  <c r="V121" i="26"/>
  <c r="V125" i="26"/>
  <c r="V129" i="26"/>
  <c r="V133" i="26"/>
  <c r="V137" i="26"/>
  <c r="V141" i="26"/>
  <c r="V145" i="26"/>
  <c r="V104" i="26"/>
  <c r="V108" i="26"/>
  <c r="V112" i="26"/>
  <c r="V116" i="26"/>
  <c r="V120" i="26"/>
  <c r="V124" i="26"/>
  <c r="V128" i="26"/>
  <c r="V132" i="26"/>
  <c r="V136" i="26"/>
  <c r="V103" i="26"/>
  <c r="V107" i="26"/>
  <c r="V111" i="26"/>
  <c r="V115" i="26"/>
  <c r="V119" i="26"/>
  <c r="V123" i="26"/>
  <c r="V127" i="26"/>
  <c r="V106" i="26"/>
  <c r="V110" i="26"/>
  <c r="V114" i="26"/>
  <c r="V118" i="26"/>
  <c r="V122" i="26"/>
  <c r="V126" i="26"/>
  <c r="V134" i="26"/>
  <c r="V139" i="26"/>
  <c r="V146" i="26"/>
  <c r="V130" i="26"/>
  <c r="V140" i="26"/>
  <c r="V142" i="26"/>
  <c r="V131" i="26"/>
  <c r="V135" i="26"/>
  <c r="V138" i="26"/>
  <c r="V143" i="26"/>
  <c r="V144" i="26"/>
  <c r="L106" i="26"/>
  <c r="L110" i="26"/>
  <c r="L114" i="26"/>
  <c r="L118" i="26"/>
  <c r="L122" i="26"/>
  <c r="L126" i="26"/>
  <c r="L130" i="26"/>
  <c r="L134" i="26"/>
  <c r="L138" i="26"/>
  <c r="L142" i="26"/>
  <c r="L146" i="26"/>
  <c r="L107" i="26"/>
  <c r="L112" i="26"/>
  <c r="L117" i="26"/>
  <c r="L123" i="26"/>
  <c r="L128" i="26"/>
  <c r="L133" i="26"/>
  <c r="L139" i="26"/>
  <c r="L144" i="26"/>
  <c r="L149" i="26"/>
  <c r="L103" i="26"/>
  <c r="L108" i="26"/>
  <c r="L113" i="26"/>
  <c r="L119" i="26"/>
  <c r="L124" i="26"/>
  <c r="L129" i="26"/>
  <c r="L135" i="26"/>
  <c r="L140" i="26"/>
  <c r="L145" i="26"/>
  <c r="L104" i="26"/>
  <c r="L109" i="26"/>
  <c r="L115" i="26"/>
  <c r="L120" i="26"/>
  <c r="L125" i="26"/>
  <c r="L131" i="26"/>
  <c r="L136" i="26"/>
  <c r="L141" i="26"/>
  <c r="L147" i="26"/>
  <c r="L105" i="26"/>
  <c r="L111" i="26"/>
  <c r="L116" i="26"/>
  <c r="L121" i="26"/>
  <c r="L127" i="26"/>
  <c r="L132" i="26"/>
  <c r="L137" i="26"/>
  <c r="L143" i="26"/>
  <c r="L148" i="26"/>
  <c r="O128" i="26"/>
  <c r="W128" i="26" s="1"/>
  <c r="A37" i="15"/>
  <c r="A85" i="15"/>
  <c r="A34" i="30"/>
  <c r="A38" i="17"/>
  <c r="A82" i="30"/>
  <c r="A86" i="17"/>
  <c r="N73" i="26"/>
  <c r="M12" i="30" l="1"/>
  <c r="M28" i="30"/>
  <c r="M27" i="30"/>
  <c r="M13" i="30"/>
  <c r="E130" i="26"/>
  <c r="M130" i="26" s="1"/>
  <c r="O129" i="26"/>
  <c r="W129" i="26" s="1"/>
  <c r="A83" i="30"/>
  <c r="A87" i="17"/>
  <c r="A38" i="15"/>
  <c r="E131" i="26" s="1"/>
  <c r="M131" i="26" s="1"/>
  <c r="A86" i="15"/>
  <c r="A35" i="30"/>
  <c r="A39" i="17"/>
  <c r="O130" i="26" l="1"/>
  <c r="W130" i="26" s="1"/>
  <c r="A84" i="30"/>
  <c r="A88" i="17"/>
  <c r="A40" i="17"/>
  <c r="A87" i="15"/>
  <c r="A39" i="15"/>
  <c r="E132" i="26" s="1"/>
  <c r="M132" i="26" s="1"/>
  <c r="A36" i="30"/>
  <c r="B10" i="16"/>
  <c r="O131" i="26" l="1"/>
  <c r="W131" i="26" s="1"/>
  <c r="A37" i="30"/>
  <c r="A40" i="15"/>
  <c r="E133" i="26" s="1"/>
  <c r="M133" i="26" s="1"/>
  <c r="A88" i="15"/>
  <c r="A41" i="17"/>
  <c r="A85" i="30"/>
  <c r="A89" i="17"/>
  <c r="O132" i="26" l="1"/>
  <c r="W132" i="26" s="1"/>
  <c r="A86" i="30"/>
  <c r="A90" i="17"/>
  <c r="A41" i="15"/>
  <c r="E134" i="26" s="1"/>
  <c r="M134" i="26" s="1"/>
  <c r="A89" i="15"/>
  <c r="A38" i="30"/>
  <c r="A42" i="17"/>
  <c r="O133" i="26" l="1"/>
  <c r="W133" i="26" s="1"/>
  <c r="A91" i="17"/>
  <c r="A87" i="30"/>
  <c r="A43" i="17"/>
  <c r="A42" i="15"/>
  <c r="E135" i="26" s="1"/>
  <c r="M135" i="26" s="1"/>
  <c r="A90" i="15"/>
  <c r="A39" i="30"/>
  <c r="O134" i="26" l="1"/>
  <c r="W134" i="26" s="1"/>
  <c r="A92" i="17"/>
  <c r="A88" i="30"/>
  <c r="A44" i="17"/>
  <c r="A91" i="15"/>
  <c r="A43" i="15"/>
  <c r="E136" i="26" s="1"/>
  <c r="M136" i="26" s="1"/>
  <c r="I12" i="30" s="1"/>
  <c r="A40" i="30"/>
  <c r="F41" i="26"/>
  <c r="M41" i="26" s="1"/>
  <c r="T14" i="17" s="1"/>
  <c r="O135" i="26" l="1"/>
  <c r="W135" i="26" s="1"/>
  <c r="A44" i="15"/>
  <c r="E137" i="26" s="1"/>
  <c r="M137" i="26" s="1"/>
  <c r="A92" i="15"/>
  <c r="A41" i="30"/>
  <c r="A45" i="17"/>
  <c r="A89" i="30"/>
  <c r="A93" i="17"/>
  <c r="H41" i="26"/>
  <c r="J41" i="26"/>
  <c r="L41" i="26"/>
  <c r="G41" i="26"/>
  <c r="I41" i="26"/>
  <c r="K41" i="26"/>
  <c r="O136" i="26" l="1"/>
  <c r="W136" i="26" s="1"/>
  <c r="A46" i="17"/>
  <c r="A45" i="15"/>
  <c r="A42" i="30"/>
  <c r="A93" i="15"/>
  <c r="A90" i="30"/>
  <c r="A94" i="17"/>
  <c r="R14" i="17"/>
  <c r="N14" i="17"/>
  <c r="Q14" i="17"/>
  <c r="P14" i="17"/>
  <c r="S14" i="17"/>
  <c r="O14" i="17"/>
  <c r="C25" i="17" l="1"/>
  <c r="E138" i="26"/>
  <c r="M138" i="26" s="1"/>
  <c r="A43" i="30"/>
  <c r="B58" i="17"/>
  <c r="C58" i="17"/>
  <c r="O137" i="26"/>
  <c r="W137" i="26" s="1"/>
  <c r="I27" i="30" s="1"/>
  <c r="A95" i="17"/>
  <c r="A91" i="30"/>
  <c r="A47" i="17"/>
  <c r="A46" i="15"/>
  <c r="E139" i="26" s="1"/>
  <c r="M139" i="26" s="1"/>
  <c r="A94" i="15"/>
  <c r="O26" i="26"/>
  <c r="N26" i="26"/>
  <c r="M26" i="26"/>
  <c r="P5" i="15"/>
  <c r="P4" i="15"/>
  <c r="K14" i="16"/>
  <c r="G33" i="16"/>
  <c r="P101" i="15"/>
  <c r="O101" i="15"/>
  <c r="N101" i="15"/>
  <c r="M101" i="15"/>
  <c r="L101" i="15"/>
  <c r="K101" i="15"/>
  <c r="J101" i="15"/>
  <c r="H101" i="15"/>
  <c r="G101" i="15"/>
  <c r="F101" i="15"/>
  <c r="E101" i="15"/>
  <c r="D101" i="15"/>
  <c r="C101" i="15"/>
  <c r="B101" i="15"/>
  <c r="P100" i="15"/>
  <c r="O100" i="15"/>
  <c r="N100" i="15"/>
  <c r="M100" i="15"/>
  <c r="L100" i="15"/>
  <c r="K100" i="15"/>
  <c r="J100" i="15"/>
  <c r="H100" i="15"/>
  <c r="G100" i="15"/>
  <c r="F100" i="15"/>
  <c r="E100" i="15"/>
  <c r="D100" i="15"/>
  <c r="C100" i="15"/>
  <c r="B100" i="15"/>
  <c r="P99" i="15"/>
  <c r="O99" i="15"/>
  <c r="N99" i="15"/>
  <c r="M99" i="15"/>
  <c r="L99" i="15"/>
  <c r="K99" i="15"/>
  <c r="J99" i="15"/>
  <c r="H99" i="15"/>
  <c r="G99" i="15"/>
  <c r="F99" i="15"/>
  <c r="E99" i="15"/>
  <c r="D99" i="15"/>
  <c r="C99" i="15"/>
  <c r="B99" i="15"/>
  <c r="P98" i="15"/>
  <c r="O98" i="15"/>
  <c r="N98" i="15"/>
  <c r="M98" i="15"/>
  <c r="L98" i="15"/>
  <c r="K98" i="15"/>
  <c r="J98" i="15"/>
  <c r="H98" i="15"/>
  <c r="G98" i="15"/>
  <c r="F98" i="15"/>
  <c r="E98" i="15"/>
  <c r="D98" i="15"/>
  <c r="C98" i="15"/>
  <c r="B98" i="15"/>
  <c r="P97" i="15"/>
  <c r="O97" i="15"/>
  <c r="N97" i="15"/>
  <c r="M97" i="15"/>
  <c r="L97" i="15"/>
  <c r="K97" i="15"/>
  <c r="J97" i="15"/>
  <c r="H97" i="15"/>
  <c r="G97" i="15"/>
  <c r="F97" i="15"/>
  <c r="E97" i="15"/>
  <c r="D97" i="15"/>
  <c r="C97" i="15"/>
  <c r="B97" i="15"/>
  <c r="P96" i="15"/>
  <c r="O96" i="15"/>
  <c r="N96" i="15"/>
  <c r="M96" i="15"/>
  <c r="L96" i="15"/>
  <c r="K96" i="15"/>
  <c r="J96" i="15"/>
  <c r="H96" i="15"/>
  <c r="G96" i="15"/>
  <c r="F96" i="15"/>
  <c r="E96" i="15"/>
  <c r="D96" i="15"/>
  <c r="C96" i="15"/>
  <c r="B96" i="15"/>
  <c r="P95" i="15"/>
  <c r="O95" i="15"/>
  <c r="N95" i="15"/>
  <c r="M95" i="15"/>
  <c r="L95" i="15"/>
  <c r="K95" i="15"/>
  <c r="J95" i="15"/>
  <c r="H95" i="15"/>
  <c r="G95" i="15"/>
  <c r="F95" i="15"/>
  <c r="E95" i="15"/>
  <c r="D95" i="15"/>
  <c r="C95" i="15"/>
  <c r="B95" i="15"/>
  <c r="P94" i="15"/>
  <c r="O94" i="15"/>
  <c r="N94" i="15"/>
  <c r="M94" i="15"/>
  <c r="L94" i="15"/>
  <c r="K94" i="15"/>
  <c r="J94" i="15"/>
  <c r="H94" i="15"/>
  <c r="G94" i="15"/>
  <c r="F94" i="15"/>
  <c r="E94" i="15"/>
  <c r="D94" i="15"/>
  <c r="C94" i="15"/>
  <c r="B94" i="15"/>
  <c r="P93" i="15"/>
  <c r="O93" i="15"/>
  <c r="N93" i="15"/>
  <c r="M93" i="15"/>
  <c r="L93" i="15"/>
  <c r="K93" i="15"/>
  <c r="J93" i="15"/>
  <c r="H93" i="15"/>
  <c r="G93" i="15"/>
  <c r="F93" i="15"/>
  <c r="E93" i="15"/>
  <c r="D93" i="15"/>
  <c r="C93" i="15"/>
  <c r="B93" i="15"/>
  <c r="P92" i="15"/>
  <c r="O92" i="15"/>
  <c r="N92" i="15"/>
  <c r="M92" i="15"/>
  <c r="L92" i="15"/>
  <c r="K92" i="15"/>
  <c r="J92" i="15"/>
  <c r="H92" i="15"/>
  <c r="G92" i="15"/>
  <c r="F92" i="15"/>
  <c r="E92" i="15"/>
  <c r="D92" i="15"/>
  <c r="C92" i="15"/>
  <c r="B92" i="15"/>
  <c r="P91" i="15"/>
  <c r="O91" i="15"/>
  <c r="N91" i="15"/>
  <c r="M91" i="15"/>
  <c r="L91" i="15"/>
  <c r="K91" i="15"/>
  <c r="J91" i="15"/>
  <c r="H91" i="15"/>
  <c r="G91" i="15"/>
  <c r="F91" i="15"/>
  <c r="E91" i="15"/>
  <c r="D91" i="15"/>
  <c r="C91" i="15"/>
  <c r="B91" i="15"/>
  <c r="P90" i="15"/>
  <c r="O90" i="15"/>
  <c r="N90" i="15"/>
  <c r="M90" i="15"/>
  <c r="L90" i="15"/>
  <c r="K90" i="15"/>
  <c r="J90" i="15"/>
  <c r="H90" i="15"/>
  <c r="G90" i="15"/>
  <c r="F90" i="15"/>
  <c r="E90" i="15"/>
  <c r="D90" i="15"/>
  <c r="C90" i="15"/>
  <c r="B90" i="15"/>
  <c r="P89" i="15"/>
  <c r="O89" i="15"/>
  <c r="N89" i="15"/>
  <c r="M89" i="15"/>
  <c r="L89" i="15"/>
  <c r="K89" i="15"/>
  <c r="J89" i="15"/>
  <c r="H89" i="15"/>
  <c r="G89" i="15"/>
  <c r="F89" i="15"/>
  <c r="E89" i="15"/>
  <c r="D89" i="15"/>
  <c r="C89" i="15"/>
  <c r="B89" i="15"/>
  <c r="P88" i="15"/>
  <c r="O88" i="15"/>
  <c r="N88" i="15"/>
  <c r="M88" i="15"/>
  <c r="L88" i="15"/>
  <c r="K88" i="15"/>
  <c r="J88" i="15"/>
  <c r="H88" i="15"/>
  <c r="G88" i="15"/>
  <c r="F88" i="15"/>
  <c r="E88" i="15"/>
  <c r="D88" i="15"/>
  <c r="C88" i="15"/>
  <c r="B88" i="15"/>
  <c r="P87" i="15"/>
  <c r="O87" i="15"/>
  <c r="N87" i="15"/>
  <c r="M87" i="15"/>
  <c r="L87" i="15"/>
  <c r="K87" i="15"/>
  <c r="J87" i="15"/>
  <c r="H87" i="15"/>
  <c r="G87" i="15"/>
  <c r="F87" i="15"/>
  <c r="E87" i="15"/>
  <c r="D87" i="15"/>
  <c r="C87" i="15"/>
  <c r="B87" i="15"/>
  <c r="P86" i="15"/>
  <c r="O86" i="15"/>
  <c r="N86" i="15"/>
  <c r="M86" i="15"/>
  <c r="L86" i="15"/>
  <c r="K86" i="15"/>
  <c r="J86" i="15"/>
  <c r="H86" i="15"/>
  <c r="G86" i="15"/>
  <c r="F86" i="15"/>
  <c r="E86" i="15"/>
  <c r="D86" i="15"/>
  <c r="C86" i="15"/>
  <c r="B86" i="15"/>
  <c r="P85" i="15"/>
  <c r="O85" i="15"/>
  <c r="N85" i="15"/>
  <c r="M85" i="15"/>
  <c r="L85" i="15"/>
  <c r="K85" i="15"/>
  <c r="J85" i="15"/>
  <c r="H85" i="15"/>
  <c r="G85" i="15"/>
  <c r="F85" i="15"/>
  <c r="E85" i="15"/>
  <c r="D85" i="15"/>
  <c r="C85" i="15"/>
  <c r="B85" i="15"/>
  <c r="P84" i="15"/>
  <c r="O84" i="15"/>
  <c r="N84" i="15"/>
  <c r="M84" i="15"/>
  <c r="L84" i="15"/>
  <c r="K84" i="15"/>
  <c r="J84" i="15"/>
  <c r="H84" i="15"/>
  <c r="G84" i="15"/>
  <c r="F84" i="15"/>
  <c r="E84" i="15"/>
  <c r="D84" i="15"/>
  <c r="C84" i="15"/>
  <c r="B84" i="15"/>
  <c r="P83" i="15"/>
  <c r="O83" i="15"/>
  <c r="N83" i="15"/>
  <c r="M83" i="15"/>
  <c r="L83" i="15"/>
  <c r="K83" i="15"/>
  <c r="J83" i="15"/>
  <c r="H83" i="15"/>
  <c r="G83" i="15"/>
  <c r="F83" i="15"/>
  <c r="E83" i="15"/>
  <c r="D83" i="15"/>
  <c r="C83" i="15"/>
  <c r="B83" i="15"/>
  <c r="P82" i="15"/>
  <c r="O82" i="15"/>
  <c r="N82" i="15"/>
  <c r="M82" i="15"/>
  <c r="L82" i="15"/>
  <c r="K82" i="15"/>
  <c r="J82" i="15"/>
  <c r="H82" i="15"/>
  <c r="G82" i="15"/>
  <c r="F82" i="15"/>
  <c r="E82" i="15"/>
  <c r="D82" i="15"/>
  <c r="C82" i="15"/>
  <c r="B82" i="15"/>
  <c r="P81" i="15"/>
  <c r="O81" i="15"/>
  <c r="N81" i="15"/>
  <c r="M81" i="15"/>
  <c r="L81" i="15"/>
  <c r="K81" i="15"/>
  <c r="J81" i="15"/>
  <c r="H81" i="15"/>
  <c r="G81" i="15"/>
  <c r="F81" i="15"/>
  <c r="E81" i="15"/>
  <c r="D81" i="15"/>
  <c r="C81" i="15"/>
  <c r="B81" i="15"/>
  <c r="P80" i="15"/>
  <c r="O80" i="15"/>
  <c r="N80" i="15"/>
  <c r="M80" i="15"/>
  <c r="L80" i="15"/>
  <c r="K80" i="15"/>
  <c r="J80" i="15"/>
  <c r="H80" i="15"/>
  <c r="G80" i="15"/>
  <c r="F80" i="15"/>
  <c r="E80" i="15"/>
  <c r="D80" i="15"/>
  <c r="C80" i="15"/>
  <c r="B80" i="15"/>
  <c r="P79" i="15"/>
  <c r="O79" i="15"/>
  <c r="N79" i="15"/>
  <c r="M79" i="15"/>
  <c r="L79" i="15"/>
  <c r="K79" i="15"/>
  <c r="J79" i="15"/>
  <c r="H79" i="15"/>
  <c r="G79" i="15"/>
  <c r="F79" i="15"/>
  <c r="E79" i="15"/>
  <c r="D79" i="15"/>
  <c r="C79" i="15"/>
  <c r="B79" i="15"/>
  <c r="P78" i="15"/>
  <c r="O78" i="15"/>
  <c r="N78" i="15"/>
  <c r="M78" i="15"/>
  <c r="L78" i="15"/>
  <c r="K78" i="15"/>
  <c r="J78" i="15"/>
  <c r="H78" i="15"/>
  <c r="G78" i="15"/>
  <c r="F78" i="15"/>
  <c r="E78" i="15"/>
  <c r="D78" i="15"/>
  <c r="C78" i="15"/>
  <c r="B78" i="15"/>
  <c r="P77" i="15"/>
  <c r="O77" i="15"/>
  <c r="N77" i="15"/>
  <c r="M77" i="15"/>
  <c r="L77" i="15"/>
  <c r="K77" i="15"/>
  <c r="J77" i="15"/>
  <c r="H77" i="15"/>
  <c r="G77" i="15"/>
  <c r="F77" i="15"/>
  <c r="E77" i="15"/>
  <c r="D77" i="15"/>
  <c r="C77" i="15"/>
  <c r="B77" i="15"/>
  <c r="P76" i="15"/>
  <c r="O76" i="15"/>
  <c r="N76" i="15"/>
  <c r="M76" i="15"/>
  <c r="L76" i="15"/>
  <c r="K76" i="15"/>
  <c r="J76" i="15"/>
  <c r="H76" i="15"/>
  <c r="G76" i="15"/>
  <c r="F76" i="15"/>
  <c r="E76" i="15"/>
  <c r="D76" i="15"/>
  <c r="C76" i="15"/>
  <c r="B76" i="15"/>
  <c r="P75" i="15"/>
  <c r="O75" i="15"/>
  <c r="N75" i="15"/>
  <c r="M75" i="15"/>
  <c r="L75" i="15"/>
  <c r="K75" i="15"/>
  <c r="J75" i="15"/>
  <c r="H75" i="15"/>
  <c r="G75" i="15"/>
  <c r="F75" i="15"/>
  <c r="E75" i="15"/>
  <c r="D75" i="15"/>
  <c r="C75" i="15"/>
  <c r="B75" i="15"/>
  <c r="P74" i="15"/>
  <c r="O74" i="15"/>
  <c r="N74" i="15"/>
  <c r="M74" i="15"/>
  <c r="L74" i="15"/>
  <c r="K74" i="15"/>
  <c r="J74" i="15"/>
  <c r="H74" i="15"/>
  <c r="G74" i="15"/>
  <c r="F74" i="15"/>
  <c r="E74" i="15"/>
  <c r="D74" i="15"/>
  <c r="C74" i="15"/>
  <c r="B74" i="15"/>
  <c r="P73" i="15"/>
  <c r="O73" i="15"/>
  <c r="N73" i="15"/>
  <c r="M73" i="15"/>
  <c r="L73" i="15"/>
  <c r="K73" i="15"/>
  <c r="J73" i="15"/>
  <c r="H73" i="15"/>
  <c r="G73" i="15"/>
  <c r="F73" i="15"/>
  <c r="E73" i="15"/>
  <c r="D73" i="15"/>
  <c r="C73" i="15"/>
  <c r="B73" i="15"/>
  <c r="P72" i="15"/>
  <c r="O72" i="15"/>
  <c r="N72" i="15"/>
  <c r="M72" i="15"/>
  <c r="L72" i="15"/>
  <c r="K72" i="15"/>
  <c r="J72" i="15"/>
  <c r="H72" i="15"/>
  <c r="G72" i="15"/>
  <c r="F72" i="15"/>
  <c r="E72" i="15"/>
  <c r="D72" i="15"/>
  <c r="C72" i="15"/>
  <c r="B72" i="15"/>
  <c r="P71" i="15"/>
  <c r="O71" i="15"/>
  <c r="N71" i="15"/>
  <c r="M71" i="15"/>
  <c r="L71" i="15"/>
  <c r="K71" i="15"/>
  <c r="J71" i="15"/>
  <c r="H71" i="15"/>
  <c r="G71" i="15"/>
  <c r="F71" i="15"/>
  <c r="E71" i="15"/>
  <c r="D71" i="15"/>
  <c r="C71" i="15"/>
  <c r="B71" i="15"/>
  <c r="P70" i="15"/>
  <c r="O70" i="15"/>
  <c r="N70" i="15"/>
  <c r="M70" i="15"/>
  <c r="L70" i="15"/>
  <c r="K70" i="15"/>
  <c r="J70" i="15"/>
  <c r="H70" i="15"/>
  <c r="G70" i="15"/>
  <c r="F70" i="15"/>
  <c r="E70" i="15"/>
  <c r="D70" i="15"/>
  <c r="C70" i="15"/>
  <c r="B70" i="15"/>
  <c r="P69" i="15"/>
  <c r="O69" i="15"/>
  <c r="N69" i="15"/>
  <c r="M69" i="15"/>
  <c r="L69" i="15"/>
  <c r="K69" i="15"/>
  <c r="J69" i="15"/>
  <c r="H69" i="15"/>
  <c r="G69" i="15"/>
  <c r="F69" i="15"/>
  <c r="E69" i="15"/>
  <c r="D69" i="15"/>
  <c r="C69" i="15"/>
  <c r="B69" i="15"/>
  <c r="P68" i="15"/>
  <c r="O68" i="15"/>
  <c r="N68" i="15"/>
  <c r="M68" i="15"/>
  <c r="L68" i="15"/>
  <c r="K68" i="15"/>
  <c r="J68" i="15"/>
  <c r="H68" i="15"/>
  <c r="G68" i="15"/>
  <c r="F68" i="15"/>
  <c r="E68" i="15"/>
  <c r="D68" i="15"/>
  <c r="C68" i="15"/>
  <c r="B68" i="15"/>
  <c r="P67" i="15"/>
  <c r="O67" i="15"/>
  <c r="N67" i="15"/>
  <c r="M67" i="15"/>
  <c r="L67" i="15"/>
  <c r="K67" i="15"/>
  <c r="J67" i="15"/>
  <c r="H67" i="15"/>
  <c r="G67" i="15"/>
  <c r="F67" i="15"/>
  <c r="E67" i="15"/>
  <c r="D67" i="15"/>
  <c r="C67" i="15"/>
  <c r="B67" i="15"/>
  <c r="P66" i="15"/>
  <c r="O66" i="15"/>
  <c r="N66" i="15"/>
  <c r="M66" i="15"/>
  <c r="L66" i="15"/>
  <c r="K66" i="15"/>
  <c r="J66" i="15"/>
  <c r="H66" i="15"/>
  <c r="G66" i="15"/>
  <c r="F66" i="15"/>
  <c r="E66" i="15"/>
  <c r="D66" i="15"/>
  <c r="C66" i="15"/>
  <c r="B66" i="15"/>
  <c r="P65" i="15"/>
  <c r="O65" i="15"/>
  <c r="N65" i="15"/>
  <c r="M65" i="15"/>
  <c r="L65" i="15"/>
  <c r="K65" i="15"/>
  <c r="J65" i="15"/>
  <c r="H65" i="15"/>
  <c r="G65" i="15"/>
  <c r="F65" i="15"/>
  <c r="E65" i="15"/>
  <c r="D65" i="15"/>
  <c r="C65" i="15"/>
  <c r="B65" i="15"/>
  <c r="P64" i="15"/>
  <c r="O64" i="15"/>
  <c r="N64" i="15"/>
  <c r="M64" i="15"/>
  <c r="L64" i="15"/>
  <c r="K64" i="15"/>
  <c r="J64" i="15"/>
  <c r="H64" i="15"/>
  <c r="G64" i="15"/>
  <c r="F64" i="15"/>
  <c r="E64" i="15"/>
  <c r="D64" i="15"/>
  <c r="C64" i="15"/>
  <c r="B64" i="15"/>
  <c r="P63" i="15"/>
  <c r="O63" i="15"/>
  <c r="N63" i="15"/>
  <c r="M63" i="15"/>
  <c r="L63" i="15"/>
  <c r="K63" i="15"/>
  <c r="J63" i="15"/>
  <c r="H63" i="15"/>
  <c r="G63" i="15"/>
  <c r="F63" i="15"/>
  <c r="E63" i="15"/>
  <c r="D63" i="15"/>
  <c r="C63" i="15"/>
  <c r="B63" i="15"/>
  <c r="P62" i="15"/>
  <c r="O62" i="15"/>
  <c r="N62" i="15"/>
  <c r="M62" i="15"/>
  <c r="L62" i="15"/>
  <c r="K62" i="15"/>
  <c r="J62" i="15"/>
  <c r="H62" i="15"/>
  <c r="G62" i="15"/>
  <c r="F62" i="15"/>
  <c r="E62" i="15"/>
  <c r="D62" i="15"/>
  <c r="C62" i="15"/>
  <c r="B62" i="15"/>
  <c r="P61" i="15"/>
  <c r="O61" i="15"/>
  <c r="N61" i="15"/>
  <c r="M61" i="15"/>
  <c r="L61" i="15"/>
  <c r="K61" i="15"/>
  <c r="J61" i="15"/>
  <c r="H61" i="15"/>
  <c r="G61" i="15"/>
  <c r="F61" i="15"/>
  <c r="E61" i="15"/>
  <c r="D61" i="15"/>
  <c r="C61" i="15"/>
  <c r="B61" i="15"/>
  <c r="P60" i="15"/>
  <c r="O60" i="15"/>
  <c r="N60" i="15"/>
  <c r="M60" i="15"/>
  <c r="L60" i="15"/>
  <c r="K60" i="15"/>
  <c r="J60" i="15"/>
  <c r="H60" i="15"/>
  <c r="G60" i="15"/>
  <c r="F60" i="15"/>
  <c r="E60" i="15"/>
  <c r="D60" i="15"/>
  <c r="C60" i="15"/>
  <c r="B60" i="15"/>
  <c r="P59" i="15"/>
  <c r="O59" i="15"/>
  <c r="N59" i="15"/>
  <c r="M59" i="15"/>
  <c r="L59" i="15"/>
  <c r="K59" i="15"/>
  <c r="J59" i="15"/>
  <c r="H59" i="15"/>
  <c r="G59" i="15"/>
  <c r="F59" i="15"/>
  <c r="E59" i="15"/>
  <c r="D59" i="15"/>
  <c r="C59" i="15"/>
  <c r="B59" i="15"/>
  <c r="P58" i="15"/>
  <c r="O58" i="15"/>
  <c r="N58" i="15"/>
  <c r="M58" i="15"/>
  <c r="L58" i="15"/>
  <c r="K58" i="15"/>
  <c r="J58" i="15"/>
  <c r="H58" i="15"/>
  <c r="G58" i="15"/>
  <c r="F58" i="15"/>
  <c r="E58" i="15"/>
  <c r="D58" i="15"/>
  <c r="C58" i="15"/>
  <c r="B58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B25" i="17"/>
  <c r="I116" i="26" s="1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I13" i="30" l="1"/>
  <c r="U14" i="17"/>
  <c r="I117" i="26"/>
  <c r="I119" i="26"/>
  <c r="J119" i="26" s="1"/>
  <c r="I121" i="26"/>
  <c r="K121" i="26" s="1"/>
  <c r="I123" i="26"/>
  <c r="K123" i="26" s="1"/>
  <c r="I125" i="26"/>
  <c r="J125" i="26" s="1"/>
  <c r="I127" i="26"/>
  <c r="J127" i="26" s="1"/>
  <c r="I129" i="26"/>
  <c r="J129" i="26" s="1"/>
  <c r="I131" i="26"/>
  <c r="K131" i="26" s="1"/>
  <c r="I133" i="26"/>
  <c r="I135" i="26"/>
  <c r="J135" i="26" s="1"/>
  <c r="M32" i="26"/>
  <c r="F33" i="26"/>
  <c r="L32" i="26"/>
  <c r="I137" i="26"/>
  <c r="J137" i="26" s="1"/>
  <c r="I139" i="26"/>
  <c r="J139" i="26" s="1"/>
  <c r="I141" i="26"/>
  <c r="J141" i="26" s="1"/>
  <c r="I104" i="26"/>
  <c r="J104" i="26" s="1"/>
  <c r="I143" i="26"/>
  <c r="J143" i="26" s="1"/>
  <c r="I145" i="26"/>
  <c r="J145" i="26" s="1"/>
  <c r="I147" i="26"/>
  <c r="K147" i="26" s="1"/>
  <c r="I118" i="26"/>
  <c r="K118" i="26" s="1"/>
  <c r="I106" i="26"/>
  <c r="J106" i="26" s="1"/>
  <c r="I120" i="26"/>
  <c r="J120" i="26" s="1"/>
  <c r="I122" i="26"/>
  <c r="J122" i="26" s="1"/>
  <c r="I124" i="26"/>
  <c r="J124" i="26" s="1"/>
  <c r="I126" i="26"/>
  <c r="J126" i="26" s="1"/>
  <c r="I108" i="26"/>
  <c r="K108" i="26" s="1"/>
  <c r="I110" i="26"/>
  <c r="J110" i="26" s="1"/>
  <c r="I128" i="26"/>
  <c r="J128" i="26" s="1"/>
  <c r="I112" i="26"/>
  <c r="K112" i="26" s="1"/>
  <c r="I114" i="26"/>
  <c r="K114" i="26" s="1"/>
  <c r="I130" i="26"/>
  <c r="J130" i="26" s="1"/>
  <c r="I132" i="26"/>
  <c r="J132" i="26" s="1"/>
  <c r="I102" i="26"/>
  <c r="J116" i="26"/>
  <c r="K116" i="26"/>
  <c r="I149" i="26"/>
  <c r="J117" i="26"/>
  <c r="K117" i="26"/>
  <c r="K125" i="26"/>
  <c r="J133" i="26"/>
  <c r="K133" i="26"/>
  <c r="K137" i="26"/>
  <c r="I103" i="26"/>
  <c r="I105" i="26"/>
  <c r="I107" i="26"/>
  <c r="I109" i="26"/>
  <c r="I111" i="26"/>
  <c r="I113" i="26"/>
  <c r="I115" i="26"/>
  <c r="I134" i="26"/>
  <c r="I136" i="26"/>
  <c r="I138" i="26"/>
  <c r="I140" i="26"/>
  <c r="I142" i="26"/>
  <c r="I144" i="26"/>
  <c r="I146" i="26"/>
  <c r="I148" i="26"/>
  <c r="C104" i="17"/>
  <c r="B104" i="17"/>
  <c r="O138" i="26"/>
  <c r="W138" i="26" s="1"/>
  <c r="C67" i="17"/>
  <c r="C71" i="17"/>
  <c r="C75" i="17"/>
  <c r="C79" i="17"/>
  <c r="C83" i="17"/>
  <c r="C87" i="17"/>
  <c r="C91" i="17"/>
  <c r="C95" i="17"/>
  <c r="C99" i="17"/>
  <c r="C103" i="17"/>
  <c r="C61" i="17"/>
  <c r="C62" i="17"/>
  <c r="C66" i="17"/>
  <c r="C70" i="17"/>
  <c r="C64" i="17"/>
  <c r="C65" i="17"/>
  <c r="C69" i="17"/>
  <c r="C73" i="17"/>
  <c r="C77" i="17"/>
  <c r="C81" i="17"/>
  <c r="C85" i="17"/>
  <c r="C89" i="17"/>
  <c r="C93" i="17"/>
  <c r="C97" i="17"/>
  <c r="C101" i="17"/>
  <c r="C74" i="17"/>
  <c r="C78" i="17"/>
  <c r="C82" i="17"/>
  <c r="C86" i="17"/>
  <c r="C90" i="17"/>
  <c r="C94" i="17"/>
  <c r="C102" i="17"/>
  <c r="C68" i="17"/>
  <c r="C72" i="17"/>
  <c r="C76" i="17"/>
  <c r="C80" i="17"/>
  <c r="C84" i="17"/>
  <c r="C88" i="17"/>
  <c r="C92" i="17"/>
  <c r="C96" i="17"/>
  <c r="C100" i="17"/>
  <c r="A47" i="15"/>
  <c r="A44" i="30"/>
  <c r="A48" i="17"/>
  <c r="A95" i="15"/>
  <c r="A92" i="30"/>
  <c r="A96" i="17"/>
  <c r="B61" i="17"/>
  <c r="B62" i="17"/>
  <c r="B64" i="17"/>
  <c r="B65" i="17"/>
  <c r="B66" i="17"/>
  <c r="B67" i="17"/>
  <c r="S109" i="26" s="1"/>
  <c r="B68" i="17"/>
  <c r="B69" i="17"/>
  <c r="B70" i="17"/>
  <c r="B71" i="17"/>
  <c r="B72" i="17"/>
  <c r="S114" i="26" s="1"/>
  <c r="B73" i="17"/>
  <c r="B74" i="17"/>
  <c r="B75" i="17"/>
  <c r="B76" i="17"/>
  <c r="B77" i="17"/>
  <c r="S119" i="26" s="1"/>
  <c r="B78" i="17"/>
  <c r="B79" i="17"/>
  <c r="B80" i="17"/>
  <c r="B81" i="17"/>
  <c r="B82" i="17"/>
  <c r="S124" i="26" s="1"/>
  <c r="B83" i="17"/>
  <c r="S125" i="26" s="1"/>
  <c r="B84" i="17"/>
  <c r="B85" i="17"/>
  <c r="B86" i="17"/>
  <c r="B87" i="17"/>
  <c r="B88" i="17"/>
  <c r="S130" i="26" s="1"/>
  <c r="B89" i="17"/>
  <c r="B90" i="17"/>
  <c r="B91" i="17"/>
  <c r="B92" i="17"/>
  <c r="B93" i="17"/>
  <c r="S135" i="26" s="1"/>
  <c r="B94" i="17"/>
  <c r="B95" i="17"/>
  <c r="B96" i="17"/>
  <c r="B97" i="17"/>
  <c r="B99" i="17"/>
  <c r="B100" i="17"/>
  <c r="S142" i="26" s="1"/>
  <c r="B101" i="17"/>
  <c r="B102" i="17"/>
  <c r="C98" i="17"/>
  <c r="B98" i="17"/>
  <c r="H34" i="26"/>
  <c r="G34" i="26"/>
  <c r="B63" i="17"/>
  <c r="C63" i="17"/>
  <c r="B103" i="17"/>
  <c r="S145" i="26" s="1"/>
  <c r="C60" i="17"/>
  <c r="F34" i="26"/>
  <c r="I60" i="15"/>
  <c r="Q61" i="15"/>
  <c r="I64" i="15"/>
  <c r="Q65" i="15"/>
  <c r="I68" i="15"/>
  <c r="Q69" i="15"/>
  <c r="I72" i="15"/>
  <c r="Q73" i="15"/>
  <c r="I76" i="15"/>
  <c r="Q77" i="15"/>
  <c r="I80" i="15"/>
  <c r="Q81" i="15"/>
  <c r="I85" i="15"/>
  <c r="Q86" i="15"/>
  <c r="I89" i="15"/>
  <c r="Q90" i="15"/>
  <c r="I93" i="15"/>
  <c r="Q94" i="15"/>
  <c r="I97" i="15"/>
  <c r="Q98" i="15"/>
  <c r="I101" i="15"/>
  <c r="I58" i="15"/>
  <c r="Q59" i="15"/>
  <c r="I62" i="15"/>
  <c r="Q63" i="15"/>
  <c r="I66" i="15"/>
  <c r="Q67" i="15"/>
  <c r="I70" i="15"/>
  <c r="Q71" i="15"/>
  <c r="I74" i="15"/>
  <c r="Q75" i="15"/>
  <c r="I78" i="15"/>
  <c r="Q79" i="15"/>
  <c r="I82" i="15"/>
  <c r="Q83" i="15"/>
  <c r="Q84" i="15"/>
  <c r="I87" i="15"/>
  <c r="Q88" i="15"/>
  <c r="I91" i="15"/>
  <c r="Q92" i="15"/>
  <c r="I95" i="15"/>
  <c r="Q96" i="15"/>
  <c r="I99" i="15"/>
  <c r="Q100" i="15"/>
  <c r="B60" i="17"/>
  <c r="Q58" i="15"/>
  <c r="I59" i="15"/>
  <c r="Q60" i="15"/>
  <c r="I61" i="15"/>
  <c r="Q62" i="15"/>
  <c r="I63" i="15"/>
  <c r="Q64" i="15"/>
  <c r="I65" i="15"/>
  <c r="Q66" i="15"/>
  <c r="I67" i="15"/>
  <c r="Q68" i="15"/>
  <c r="I69" i="15"/>
  <c r="Q70" i="15"/>
  <c r="I71" i="15"/>
  <c r="Q72" i="15"/>
  <c r="I73" i="15"/>
  <c r="Q74" i="15"/>
  <c r="I75" i="15"/>
  <c r="Q76" i="15"/>
  <c r="I77" i="15"/>
  <c r="Q78" i="15"/>
  <c r="I79" i="15"/>
  <c r="Q80" i="15"/>
  <c r="I81" i="15"/>
  <c r="Q82" i="15"/>
  <c r="I83" i="15"/>
  <c r="I84" i="15"/>
  <c r="Q85" i="15"/>
  <c r="I86" i="15"/>
  <c r="Q87" i="15"/>
  <c r="I88" i="15"/>
  <c r="Q89" i="15"/>
  <c r="I90" i="15"/>
  <c r="Q91" i="15"/>
  <c r="I92" i="15"/>
  <c r="Q93" i="15"/>
  <c r="I94" i="15"/>
  <c r="Q95" i="15"/>
  <c r="I96" i="15"/>
  <c r="Q97" i="15"/>
  <c r="I98" i="15"/>
  <c r="Q99" i="15"/>
  <c r="I100" i="15"/>
  <c r="Q101" i="15"/>
  <c r="K126" i="26" l="1"/>
  <c r="K143" i="26"/>
  <c r="K135" i="26"/>
  <c r="K127" i="26"/>
  <c r="K119" i="26"/>
  <c r="K106" i="26"/>
  <c r="J112" i="26"/>
  <c r="S136" i="26"/>
  <c r="J121" i="26"/>
  <c r="J114" i="26"/>
  <c r="K120" i="26"/>
  <c r="K129" i="26"/>
  <c r="K145" i="26"/>
  <c r="K139" i="26"/>
  <c r="J108" i="26"/>
  <c r="S129" i="26"/>
  <c r="T129" i="26" s="1"/>
  <c r="J123" i="26"/>
  <c r="S113" i="26"/>
  <c r="T113" i="26" s="1"/>
  <c r="O32" i="26"/>
  <c r="K110" i="26"/>
  <c r="S139" i="26"/>
  <c r="S107" i="26"/>
  <c r="U107" i="26" s="1"/>
  <c r="S140" i="26"/>
  <c r="U140" i="26" s="1"/>
  <c r="S137" i="26"/>
  <c r="U137" i="26" s="1"/>
  <c r="S133" i="26"/>
  <c r="T133" i="26" s="1"/>
  <c r="S121" i="26"/>
  <c r="T121" i="26" s="1"/>
  <c r="S117" i="26"/>
  <c r="T117" i="26" s="1"/>
  <c r="S104" i="26"/>
  <c r="U104" i="26" s="1"/>
  <c r="S144" i="26"/>
  <c r="T144" i="26" s="1"/>
  <c r="S123" i="26"/>
  <c r="T123" i="26" s="1"/>
  <c r="K132" i="26"/>
  <c r="J131" i="26"/>
  <c r="K128" i="26"/>
  <c r="K124" i="26"/>
  <c r="J118" i="26"/>
  <c r="S146" i="26"/>
  <c r="U146" i="26" s="1"/>
  <c r="S132" i="26"/>
  <c r="U132" i="26" s="1"/>
  <c r="S116" i="26"/>
  <c r="U116" i="26" s="1"/>
  <c r="S112" i="26"/>
  <c r="T112" i="26" s="1"/>
  <c r="K104" i="26"/>
  <c r="S131" i="26"/>
  <c r="S115" i="26"/>
  <c r="T115" i="26" s="1"/>
  <c r="S138" i="26"/>
  <c r="T138" i="26" s="1"/>
  <c r="S134" i="26"/>
  <c r="U134" i="26" s="1"/>
  <c r="M33" i="26"/>
  <c r="M34" i="26" s="1"/>
  <c r="J147" i="26"/>
  <c r="K130" i="26"/>
  <c r="K122" i="26"/>
  <c r="L33" i="26"/>
  <c r="K141" i="26"/>
  <c r="B40" i="26"/>
  <c r="C40" i="26" s="1"/>
  <c r="D40" i="26" s="1"/>
  <c r="I33" i="26"/>
  <c r="S122" i="26"/>
  <c r="U122" i="26" s="1"/>
  <c r="S118" i="26"/>
  <c r="U118" i="26" s="1"/>
  <c r="S106" i="26"/>
  <c r="T106" i="26" s="1"/>
  <c r="S120" i="26"/>
  <c r="T120" i="26" s="1"/>
  <c r="S103" i="26"/>
  <c r="U103" i="26" s="1"/>
  <c r="S127" i="26"/>
  <c r="U127" i="26" s="1"/>
  <c r="S141" i="26"/>
  <c r="T141" i="26" s="1"/>
  <c r="U133" i="26"/>
  <c r="T145" i="26"/>
  <c r="U145" i="26"/>
  <c r="S143" i="26"/>
  <c r="T130" i="26"/>
  <c r="U130" i="26"/>
  <c r="S126" i="26"/>
  <c r="T114" i="26"/>
  <c r="U114" i="26"/>
  <c r="S110" i="26"/>
  <c r="J140" i="26"/>
  <c r="K140" i="26"/>
  <c r="J115" i="26"/>
  <c r="K115" i="26"/>
  <c r="J107" i="26"/>
  <c r="K107" i="26"/>
  <c r="T125" i="26"/>
  <c r="U125" i="26"/>
  <c r="T109" i="26"/>
  <c r="U109" i="26"/>
  <c r="J146" i="26"/>
  <c r="K146" i="26"/>
  <c r="J138" i="26"/>
  <c r="K138" i="26"/>
  <c r="J113" i="26"/>
  <c r="K113" i="26"/>
  <c r="J105" i="26"/>
  <c r="K105" i="26"/>
  <c r="J149" i="26"/>
  <c r="K149" i="26"/>
  <c r="S102" i="26"/>
  <c r="T142" i="26"/>
  <c r="U142" i="26"/>
  <c r="S105" i="26"/>
  <c r="U136" i="26"/>
  <c r="T136" i="26"/>
  <c r="T132" i="26"/>
  <c r="S128" i="26"/>
  <c r="U124" i="26"/>
  <c r="T124" i="26"/>
  <c r="S108" i="26"/>
  <c r="J144" i="26"/>
  <c r="K144" i="26"/>
  <c r="J136" i="26"/>
  <c r="K136" i="26"/>
  <c r="J111" i="26"/>
  <c r="K111" i="26"/>
  <c r="J103" i="26"/>
  <c r="K103" i="26"/>
  <c r="J102" i="26"/>
  <c r="K102" i="26"/>
  <c r="T137" i="26"/>
  <c r="T139" i="26"/>
  <c r="U139" i="26"/>
  <c r="T135" i="26"/>
  <c r="U135" i="26"/>
  <c r="T131" i="26"/>
  <c r="U131" i="26"/>
  <c r="T119" i="26"/>
  <c r="U119" i="26"/>
  <c r="S111" i="26"/>
  <c r="T107" i="26"/>
  <c r="J148" i="26"/>
  <c r="K148" i="26"/>
  <c r="K142" i="26"/>
  <c r="J142" i="26"/>
  <c r="K134" i="26"/>
  <c r="J134" i="26"/>
  <c r="J109" i="26"/>
  <c r="K109" i="26"/>
  <c r="O139" i="26"/>
  <c r="W139" i="26" s="1"/>
  <c r="E140" i="26"/>
  <c r="M140" i="26" s="1"/>
  <c r="A93" i="30"/>
  <c r="A97" i="17"/>
  <c r="A45" i="30"/>
  <c r="A96" i="15"/>
  <c r="A48" i="15"/>
  <c r="E141" i="26" s="1"/>
  <c r="M141" i="26" s="1"/>
  <c r="A49" i="17"/>
  <c r="U106" i="26" l="1"/>
  <c r="T116" i="26"/>
  <c r="C41" i="26"/>
  <c r="D41" i="26" s="1"/>
  <c r="D42" i="26" s="1"/>
  <c r="U112" i="26"/>
  <c r="T140" i="26"/>
  <c r="U117" i="26"/>
  <c r="U120" i="26"/>
  <c r="U121" i="26"/>
  <c r="U129" i="26"/>
  <c r="T118" i="26"/>
  <c r="T134" i="26"/>
  <c r="U115" i="26"/>
  <c r="U123" i="26"/>
  <c r="U113" i="26"/>
  <c r="T104" i="26"/>
  <c r="T146" i="26"/>
  <c r="T122" i="26"/>
  <c r="U138" i="26"/>
  <c r="T127" i="26"/>
  <c r="U144" i="26"/>
  <c r="T103" i="26"/>
  <c r="U141" i="26"/>
  <c r="L34" i="26"/>
  <c r="O33" i="26"/>
  <c r="U128" i="26"/>
  <c r="T128" i="26"/>
  <c r="T126" i="26"/>
  <c r="U126" i="26"/>
  <c r="T110" i="26"/>
  <c r="U110" i="26"/>
  <c r="T111" i="26"/>
  <c r="U111" i="26"/>
  <c r="U108" i="26"/>
  <c r="T108" i="26"/>
  <c r="T105" i="26"/>
  <c r="U105" i="26"/>
  <c r="U102" i="26"/>
  <c r="T102" i="26"/>
  <c r="T143" i="26"/>
  <c r="U143" i="26"/>
  <c r="O140" i="26"/>
  <c r="W140" i="26" s="1"/>
  <c r="A94" i="30"/>
  <c r="A98" i="17"/>
  <c r="A50" i="17"/>
  <c r="A49" i="15"/>
  <c r="E142" i="26" s="1"/>
  <c r="M142" i="26" s="1"/>
  <c r="A97" i="15"/>
  <c r="A46" i="30"/>
  <c r="L102" i="26"/>
  <c r="M11" i="30" s="1"/>
  <c r="I11" i="30" s="1"/>
  <c r="D43" i="26" l="1"/>
  <c r="V34" i="26" s="1"/>
  <c r="S34" i="26"/>
  <c r="K11" i="30"/>
  <c r="O141" i="26"/>
  <c r="W141" i="26" s="1"/>
  <c r="A95" i="30"/>
  <c r="A99" i="17"/>
  <c r="A50" i="15"/>
  <c r="E143" i="26" s="1"/>
  <c r="M143" i="26" s="1"/>
  <c r="A98" i="15"/>
  <c r="A47" i="30"/>
  <c r="A51" i="17"/>
  <c r="V102" i="26"/>
  <c r="M26" i="30" s="1"/>
  <c r="I26" i="30" s="1"/>
  <c r="A15" i="16"/>
  <c r="A17" i="16" s="1"/>
  <c r="J8" i="16" s="1"/>
  <c r="K26" i="30" l="1"/>
  <c r="O142" i="26"/>
  <c r="W142" i="26" s="1"/>
  <c r="A96" i="30"/>
  <c r="A100" i="17"/>
  <c r="A51" i="15"/>
  <c r="E144" i="26" s="1"/>
  <c r="M144" i="26" s="1"/>
  <c r="A48" i="30"/>
  <c r="A52" i="17"/>
  <c r="A99" i="15"/>
  <c r="B4" i="16"/>
  <c r="B5" i="16"/>
  <c r="H3" i="16"/>
  <c r="H4" i="16"/>
  <c r="H5" i="16"/>
  <c r="B3" i="16"/>
  <c r="O143" i="26" l="1"/>
  <c r="W143" i="26" s="1"/>
  <c r="I28" i="30" s="1"/>
  <c r="A101" i="17"/>
  <c r="A97" i="30"/>
  <c r="A49" i="30"/>
  <c r="A52" i="15"/>
  <c r="E145" i="26" s="1"/>
  <c r="M145" i="26" s="1"/>
  <c r="A53" i="17"/>
  <c r="A100" i="15"/>
  <c r="O144" i="26" l="1"/>
  <c r="W144" i="26" s="1"/>
  <c r="A53" i="15"/>
  <c r="A102" i="15" s="1"/>
  <c r="A101" i="15"/>
  <c r="A54" i="17"/>
  <c r="A50" i="30"/>
  <c r="A98" i="30"/>
  <c r="A102" i="17"/>
  <c r="A100" i="30" l="1"/>
  <c r="A104" i="17"/>
  <c r="O145" i="26"/>
  <c r="W145" i="26" s="1"/>
  <c r="E146" i="26"/>
  <c r="M146" i="26" s="1"/>
  <c r="A99" i="30"/>
  <c r="A103" i="17"/>
  <c r="A51" i="30"/>
  <c r="A55" i="17"/>
  <c r="A54" i="15"/>
  <c r="E147" i="26" l="1"/>
  <c r="M147" i="26" s="1"/>
  <c r="A55" i="15"/>
  <c r="E148" i="26" s="1"/>
  <c r="M148" i="26" s="1"/>
  <c r="O146" i="26"/>
  <c r="W146" i="26" s="1"/>
  <c r="A56" i="17"/>
  <c r="A52" i="30"/>
  <c r="A56" i="15" l="1"/>
  <c r="A53" i="30"/>
  <c r="A57" i="17"/>
  <c r="A54" i="30" l="1"/>
  <c r="A58" i="17"/>
  <c r="E149" i="26"/>
  <c r="M149" i="26" s="1"/>
  <c r="M95" i="26"/>
  <c r="M36" i="30" s="1"/>
  <c r="E36" i="30"/>
  <c r="F37" i="30"/>
  <c r="N96" i="26"/>
  <c r="N37" i="30" s="1"/>
  <c r="K12" i="30" l="1"/>
  <c r="K27" i="30" l="1"/>
  <c r="K13" i="30" l="1"/>
  <c r="K28" i="30" l="1"/>
  <c r="J92" i="26" l="1"/>
  <c r="V80" i="26"/>
  <c r="J80" i="26"/>
  <c r="P80" i="26"/>
  <c r="M90" i="26"/>
  <c r="S78" i="26"/>
  <c r="T77" i="26"/>
  <c r="H89" i="26"/>
  <c r="M78" i="26"/>
  <c r="G90" i="26"/>
  <c r="N77" i="26"/>
  <c r="G78" i="26"/>
  <c r="N89" i="26"/>
  <c r="H77" i="26"/>
  <c r="O89" i="26" l="1"/>
  <c r="N91" i="26"/>
  <c r="G96" i="26"/>
  <c r="I78" i="26"/>
  <c r="G79" i="26"/>
  <c r="N83" i="26"/>
  <c r="O77" i="26"/>
  <c r="N79" i="26"/>
  <c r="T83" i="26"/>
  <c r="U77" i="26"/>
  <c r="T79" i="26"/>
  <c r="I77" i="26"/>
  <c r="H95" i="26"/>
  <c r="H79" i="26"/>
  <c r="M96" i="26"/>
  <c r="M37" i="30" s="1"/>
  <c r="I90" i="26"/>
  <c r="O96" i="26" s="1"/>
  <c r="O37" i="30" s="1"/>
  <c r="G91" i="26"/>
  <c r="S84" i="26"/>
  <c r="U78" i="26"/>
  <c r="S79" i="26"/>
  <c r="U79" i="26" s="1"/>
  <c r="O90" i="26"/>
  <c r="M91" i="26"/>
  <c r="O91" i="26" s="1"/>
  <c r="G84" i="26"/>
  <c r="H83" i="26"/>
  <c r="M84" i="26"/>
  <c r="O78" i="26"/>
  <c r="M79" i="26"/>
  <c r="I89" i="26"/>
  <c r="O95" i="26" s="1"/>
  <c r="O36" i="30" s="1"/>
  <c r="N95" i="26"/>
  <c r="N36" i="30" s="1"/>
  <c r="H91" i="26"/>
  <c r="N97" i="26" s="1"/>
  <c r="N38" i="30" s="1"/>
  <c r="O79" i="26" l="1"/>
  <c r="I79" i="26"/>
  <c r="I97" i="26" s="1"/>
  <c r="G38" i="30" s="1"/>
  <c r="H85" i="26"/>
  <c r="I83" i="26"/>
  <c r="I84" i="26"/>
  <c r="G85" i="26"/>
  <c r="E37" i="30"/>
  <c r="I96" i="26"/>
  <c r="G37" i="30" s="1"/>
  <c r="G97" i="26"/>
  <c r="E38" i="30" s="1"/>
  <c r="U84" i="26"/>
  <c r="S85" i="26"/>
  <c r="O83" i="26"/>
  <c r="N85" i="26"/>
  <c r="S50" i="26"/>
  <c r="T49" i="26"/>
  <c r="G50" i="26"/>
  <c r="J52" i="26"/>
  <c r="V52" i="26"/>
  <c r="P52" i="26"/>
  <c r="H61" i="26"/>
  <c r="J64" i="26"/>
  <c r="M50" i="26"/>
  <c r="G62" i="26"/>
  <c r="N49" i="26"/>
  <c r="M62" i="26"/>
  <c r="N61" i="26"/>
  <c r="H49" i="26"/>
  <c r="O84" i="26"/>
  <c r="M85" i="26"/>
  <c r="O85" i="26" s="1"/>
  <c r="I91" i="26"/>
  <c r="O97" i="26" s="1"/>
  <c r="O38" i="30" s="1"/>
  <c r="M97" i="26"/>
  <c r="M38" i="30" s="1"/>
  <c r="F36" i="30"/>
  <c r="I95" i="26"/>
  <c r="G36" i="30" s="1"/>
  <c r="H97" i="26"/>
  <c r="F38" i="30" s="1"/>
  <c r="U83" i="26"/>
  <c r="T85" i="26"/>
  <c r="I85" i="26" l="1"/>
  <c r="U85" i="26"/>
  <c r="H55" i="26"/>
  <c r="G56" i="26"/>
  <c r="O61" i="26"/>
  <c r="O49" i="26"/>
  <c r="T55" i="26"/>
  <c r="U49" i="26"/>
  <c r="F22" i="30"/>
  <c r="I49" i="26"/>
  <c r="I61" i="26"/>
  <c r="N55" i="26"/>
  <c r="I56" i="26" l="1"/>
  <c r="G57" i="26"/>
  <c r="I55" i="26"/>
  <c r="O62" i="26"/>
  <c r="I62" i="26"/>
  <c r="H63" i="26"/>
  <c r="T57" i="26"/>
  <c r="H51" i="26"/>
  <c r="O55" i="26"/>
  <c r="H57" i="26"/>
  <c r="H67" i="26"/>
  <c r="S56" i="26"/>
  <c r="U56" i="26" s="1"/>
  <c r="U50" i="26"/>
  <c r="M56" i="26"/>
  <c r="G68" i="26" s="1"/>
  <c r="O50" i="26"/>
  <c r="U55" i="26"/>
  <c r="N67" i="26"/>
  <c r="N21" i="30" s="1"/>
  <c r="N68" i="26"/>
  <c r="N22" i="30" s="1"/>
  <c r="I50" i="26"/>
  <c r="T51" i="26"/>
  <c r="M51" i="26"/>
  <c r="M67" i="26"/>
  <c r="M21" i="30" s="1"/>
  <c r="O67" i="26" l="1"/>
  <c r="O21" i="30" s="1"/>
  <c r="E22" i="30"/>
  <c r="I68" i="26"/>
  <c r="G22" i="30" s="1"/>
  <c r="I67" i="26"/>
  <c r="G21" i="30" s="1"/>
  <c r="F21" i="30"/>
  <c r="N63" i="26"/>
  <c r="N51" i="26"/>
  <c r="O51" i="26" s="1"/>
  <c r="M68" i="26"/>
  <c r="M22" i="30" s="1"/>
  <c r="I57" i="26"/>
  <c r="S51" i="26"/>
  <c r="U51" i="26" s="1"/>
  <c r="G63" i="26"/>
  <c r="I63" i="26" s="1"/>
  <c r="G51" i="26"/>
  <c r="I51" i="26" s="1"/>
  <c r="E21" i="30"/>
  <c r="M63" i="26"/>
  <c r="O56" i="26"/>
  <c r="O68" i="26" s="1"/>
  <c r="O22" i="30" s="1"/>
  <c r="O63" i="26" l="1"/>
  <c r="M57" i="26"/>
  <c r="S57" i="26"/>
  <c r="U57" i="26" s="1"/>
  <c r="N57" i="26"/>
  <c r="N69" i="26" s="1"/>
  <c r="N23" i="30" s="1"/>
  <c r="H69" i="26" l="1"/>
  <c r="F23" i="30" s="1"/>
  <c r="O57" i="26"/>
  <c r="I69" i="26" s="1"/>
  <c r="G23" i="30" s="1"/>
  <c r="O69" i="26"/>
  <c r="O23" i="30" s="1"/>
  <c r="G69" i="26"/>
  <c r="E23" i="30" s="1"/>
  <c r="M69" i="26"/>
  <c r="M23" i="30" s="1"/>
</calcChain>
</file>

<file path=xl/sharedStrings.xml><?xml version="1.0" encoding="utf-8"?>
<sst xmlns="http://schemas.openxmlformats.org/spreadsheetml/2006/main" count="491" uniqueCount="185">
  <si>
    <t>Time</t>
  </si>
  <si>
    <t>Date</t>
  </si>
  <si>
    <t>Cars</t>
  </si>
  <si>
    <t>Cycle</t>
  </si>
  <si>
    <t>Buses</t>
  </si>
  <si>
    <t>Start Time</t>
  </si>
  <si>
    <t>Rolling Hour</t>
  </si>
  <si>
    <t>Intelligent Data Collection Limited</t>
  </si>
  <si>
    <t>Total</t>
  </si>
  <si>
    <t>M/C</t>
  </si>
  <si>
    <t>OGV1</t>
  </si>
  <si>
    <t>OGV2</t>
  </si>
  <si>
    <t>LGV</t>
  </si>
  <si>
    <t>Junction Number:</t>
  </si>
  <si>
    <t>Junction Name:</t>
  </si>
  <si>
    <t>Project Number:</t>
  </si>
  <si>
    <t>PCU Factors</t>
  </si>
  <si>
    <t>Car</t>
  </si>
  <si>
    <t>Bus</t>
  </si>
  <si>
    <t>Notes</t>
  </si>
  <si>
    <t>Date of Survey:</t>
  </si>
  <si>
    <t>Junction Type: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</si>
  <si>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</si>
  <si>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</si>
  <si>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</si>
  <si>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</si>
  <si>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</si>
  <si>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</si>
  <si>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</si>
  <si>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</si>
  <si>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</si>
  <si>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</si>
  <si>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</si>
  <si>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</si>
  <si>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P/C</t>
  </si>
  <si>
    <t>Project Director</t>
  </si>
  <si>
    <t>Client:</t>
  </si>
  <si>
    <t>http://maps.google.co.uk/maps?hl=en&amp;safe=off&amp;q=</t>
  </si>
  <si>
    <t>&amp;cr=countryUK|countryGB&amp;um=1&amp;ie=UTF-8&amp;sa=N&amp;tab=wl</t>
  </si>
  <si>
    <t>Google Maps Link</t>
  </si>
  <si>
    <t>Location Plan &amp; Summary</t>
  </si>
  <si>
    <t>Junction Layout</t>
  </si>
  <si>
    <t>Aerial Mapping and On-site Camera View</t>
  </si>
  <si>
    <t>Junction Flow Profile</t>
  </si>
  <si>
    <t>Additional Notes (Factors which may impact on survey results such as accidents, roadworks, special events):</t>
  </si>
  <si>
    <t>A to B</t>
  </si>
  <si>
    <t>B to A</t>
  </si>
  <si>
    <t>Arm A</t>
  </si>
  <si>
    <t>Arm A:</t>
  </si>
  <si>
    <t>Arm B:</t>
  </si>
  <si>
    <t>Arm B</t>
  </si>
  <si>
    <t>Arm Annotation</t>
  </si>
  <si>
    <t>Start / End Times</t>
  </si>
  <si>
    <t>Start</t>
  </si>
  <si>
    <t>End</t>
  </si>
  <si>
    <t>Minimum</t>
  </si>
  <si>
    <t>Maximum</t>
  </si>
  <si>
    <t>Major Unit</t>
  </si>
  <si>
    <t>Graph Axis Data</t>
  </si>
  <si>
    <t>PCU Options</t>
  </si>
  <si>
    <t>WebTag</t>
  </si>
  <si>
    <t>TfL</t>
  </si>
  <si>
    <t>Vehicles</t>
  </si>
  <si>
    <t>PCU Option</t>
  </si>
  <si>
    <t>A</t>
  </si>
  <si>
    <t>B</t>
  </si>
  <si>
    <t>From</t>
  </si>
  <si>
    <t>To</t>
  </si>
  <si>
    <t>Total Vehicles</t>
  </si>
  <si>
    <t>Total PCUs</t>
  </si>
  <si>
    <t>Pedal Cycles</t>
  </si>
  <si>
    <t>Motor Cycles</t>
  </si>
  <si>
    <t>Total Heavies</t>
  </si>
  <si>
    <t>Pedal Cycles PCUs</t>
  </si>
  <si>
    <t>Motor Cycles PCUs</t>
  </si>
  <si>
    <t>Total Heavies PCUs</t>
  </si>
  <si>
    <t>MCC Data</t>
  </si>
  <si>
    <t>PCU Data</t>
  </si>
  <si>
    <t>Movement Matrices</t>
  </si>
  <si>
    <t>Weather</t>
  </si>
  <si>
    <t>AM Peak</t>
  </si>
  <si>
    <t>PM Peak</t>
  </si>
  <si>
    <t>X-Axis</t>
  </si>
  <si>
    <t>PCU values taken from Webtag guidance and recent TfL projects</t>
  </si>
  <si>
    <t>To exclude any vehicle from calculation, enter 0 into the relevant cell (this will remove the link to the selected drop-down criteria though)</t>
  </si>
  <si>
    <t>AM Peak Conditions</t>
  </si>
  <si>
    <t>PM Peak Conditions</t>
  </si>
  <si>
    <t>from:</t>
  </si>
  <si>
    <t>until:</t>
  </si>
  <si>
    <t>Turn Matrices - Rolling Hours</t>
  </si>
  <si>
    <t>Count Data</t>
  </si>
  <si>
    <t>Rolling Hours</t>
  </si>
  <si>
    <t>Please select from the list of default PCU values using the drop-down in cell U10</t>
  </si>
  <si>
    <t>Count Method:</t>
  </si>
  <si>
    <t>PCUs</t>
  </si>
  <si>
    <t>All Classes</t>
  </si>
  <si>
    <t>Excluding P/Cs</t>
  </si>
  <si>
    <t>Excluding M/Cs and P/Cs</t>
  </si>
  <si>
    <t>Classes Included:</t>
  </si>
  <si>
    <t>HGV Proportions</t>
  </si>
  <si>
    <t>Movement Counts</t>
  </si>
  <si>
    <t>Type</t>
  </si>
  <si>
    <t>flow:</t>
  </si>
  <si>
    <t>Inter-Peak</t>
  </si>
  <si>
    <t>Period Starting:</t>
  </si>
  <si>
    <t>Turn Matrices - 15-min Periods</t>
  </si>
  <si>
    <t>PCU Summary</t>
  </si>
  <si>
    <t>Total Flows - 15-min Periods</t>
  </si>
  <si>
    <t>Minus PC</t>
  </si>
  <si>
    <t>Selected</t>
  </si>
  <si>
    <t>Google Coordinates</t>
  </si>
  <si>
    <t>X Coordinate</t>
  </si>
  <si>
    <t>Y Coordinate</t>
  </si>
  <si>
    <t>X Coord</t>
  </si>
  <si>
    <t>Y Coord</t>
  </si>
  <si>
    <t>Total Flows - Rolling Hours</t>
  </si>
  <si>
    <t>Maximum 15-minute Junction Flow:</t>
  </si>
  <si>
    <t>Maximum Hourly Junction Flow:</t>
  </si>
  <si>
    <t>Minor Unit</t>
  </si>
  <si>
    <t>Graph Intervals</t>
  </si>
  <si>
    <t>Survey</t>
  </si>
  <si>
    <t>Interval</t>
  </si>
  <si>
    <t>Task</t>
  </si>
  <si>
    <t>Initials</t>
  </si>
  <si>
    <t>Internal Anaylst Checklist</t>
  </si>
  <si>
    <t>Classes</t>
  </si>
  <si>
    <t>Movement</t>
  </si>
  <si>
    <t>Internal PM/QA Checklist</t>
  </si>
  <si>
    <t>2. Carry out any necessary further logic checks on data validity (key arms have peak flows, tidality, etc)</t>
  </si>
  <si>
    <r>
      <t>3. Complete '</t>
    </r>
    <r>
      <rPr>
        <i/>
        <sz val="10"/>
        <rFont val="Tahoma"/>
        <family val="2"/>
      </rPr>
      <t>QA &amp; Issue Sheet</t>
    </r>
    <r>
      <rPr>
        <sz val="10"/>
        <rFont val="Tahoma"/>
        <family val="2"/>
      </rPr>
      <t>'</t>
    </r>
  </si>
  <si>
    <t>Bold entries in the above tables indicate the maximum movement, approach and exit flows for the selected time period, and similarly with the HGV proportions</t>
  </si>
  <si>
    <t>Minus PC and MC</t>
  </si>
  <si>
    <t>Inter-Peak covers 10:00 until 16:00</t>
  </si>
  <si>
    <t>Inter-Peak Conditions</t>
  </si>
  <si>
    <t>E-mail</t>
  </si>
  <si>
    <t>Totals</t>
  </si>
  <si>
    <t>1. Ensure all Analyst tasks are complete</t>
  </si>
  <si>
    <t>Move Totals</t>
  </si>
  <si>
    <t>Non-zero Duplicate?</t>
  </si>
  <si>
    <t>Duplicates</t>
  </si>
  <si>
    <t>1. Complete all yellow shaded cells within this worksheet</t>
  </si>
  <si>
    <r>
      <t xml:space="preserve">2. Ensure all </t>
    </r>
    <r>
      <rPr>
        <i/>
        <sz val="10"/>
        <rFont val="Tahoma"/>
        <family val="2"/>
      </rPr>
      <t>Count Data Checks</t>
    </r>
    <r>
      <rPr>
        <sz val="10"/>
        <rFont val="Tahoma"/>
        <family val="2"/>
      </rPr>
      <t xml:space="preserve"> are marked in green as 'CORRECT'</t>
    </r>
  </si>
  <si>
    <t>Project Name:</t>
  </si>
  <si>
    <t>Duplicate Total Checks - this checks any repetition of non-zero movement totals</t>
  </si>
  <si>
    <t>LOCK / UNLOCK PASSWORD - IDCQA</t>
  </si>
  <si>
    <t>Two-way Link Count</t>
  </si>
  <si>
    <t>Site Number:</t>
  </si>
  <si>
    <t>Site Name:</t>
  </si>
  <si>
    <t>Survey Type:</t>
  </si>
  <si>
    <t>Two-way Total</t>
  </si>
  <si>
    <t>Count Data Checks - this ensures the sum of the two movements in columns B to Q correlate with the totals provided in columns R to Y</t>
  </si>
  <si>
    <t>Select the time from the drop-down in cell D16 to show the 15-minute data for that period</t>
  </si>
  <si>
    <t>4. Ensure no check values relating to the movement matrices below are highlighted red</t>
  </si>
  <si>
    <r>
      <t>5. Update x-axis of  '</t>
    </r>
    <r>
      <rPr>
        <i/>
        <sz val="10"/>
        <rFont val="Tahoma"/>
        <family val="2"/>
      </rPr>
      <t>Arm Approach Flow</t>
    </r>
    <r>
      <rPr>
        <sz val="10"/>
        <rFont val="Tahoma"/>
        <family val="2"/>
      </rPr>
      <t>s' table in '</t>
    </r>
    <r>
      <rPr>
        <i/>
        <sz val="10"/>
        <rFont val="Tahoma"/>
        <family val="2"/>
      </rPr>
      <t>Location Plan &amp; Summary</t>
    </r>
    <r>
      <rPr>
        <sz val="10"/>
        <rFont val="Tahoma"/>
        <family val="2"/>
      </rPr>
      <t>' according to selected survey times</t>
    </r>
  </si>
  <si>
    <r>
      <t>6. Selected '</t>
    </r>
    <r>
      <rPr>
        <i/>
        <sz val="10"/>
        <rFont val="Tahoma"/>
        <family val="2"/>
      </rPr>
      <t>Vehicles</t>
    </r>
    <r>
      <rPr>
        <sz val="10"/>
        <rFont val="Tahoma"/>
        <family val="2"/>
      </rPr>
      <t>' in '</t>
    </r>
    <r>
      <rPr>
        <i/>
        <sz val="10"/>
        <rFont val="Tahoma"/>
        <family val="2"/>
      </rPr>
      <t>PCU Data</t>
    </r>
    <r>
      <rPr>
        <sz val="10"/>
        <rFont val="Tahoma"/>
        <family val="2"/>
      </rPr>
      <t>' cell P10 drop-down to confirm that 'VEHICLE TOTAL CORRECT' appears in U14</t>
    </r>
  </si>
  <si>
    <r>
      <t>7. Select one of the peak traffic flow periods from the dropdowns in cells D16 and D31 in '</t>
    </r>
    <r>
      <rPr>
        <i/>
        <sz val="10"/>
        <rFont val="Tahoma"/>
        <family val="2"/>
      </rPr>
      <t>Movement Matrices</t>
    </r>
    <r>
      <rPr>
        <sz val="10"/>
        <rFont val="Tahoma"/>
        <family val="2"/>
      </rPr>
      <t>', making sure the totals in the bottom right of each '</t>
    </r>
    <r>
      <rPr>
        <i/>
        <sz val="10"/>
        <rFont val="Tahoma"/>
        <family val="2"/>
      </rPr>
      <t>Movement Count</t>
    </r>
    <r>
      <rPr>
        <sz val="10"/>
        <rFont val="Tahoma"/>
        <family val="2"/>
      </rPr>
      <t>s' table match that of the maximum flow</t>
    </r>
  </si>
  <si>
    <t>8. Checked that the maximum 15-minute flow periods shown in 'Movement Matrices' are consistent with the 'Arm Approach Flows' table in 'Location Plan &amp; Summary'</t>
  </si>
  <si>
    <t>9. Carry out any necessary inter-junction checks, if applicable</t>
  </si>
  <si>
    <t>Select the time from the drop-down in cell D31 to show the hourly data for that period</t>
  </si>
  <si>
    <t>Select the count method and desired user classes from the drop-downs in cells D8 and G8</t>
  </si>
  <si>
    <t>3. Ensure any duplicate movement totals, if marked in S34, are checked</t>
  </si>
  <si>
    <t>AM Peak covers 07:00 until 10:00</t>
  </si>
  <si>
    <t>PM Peak covers 16:00 until 19:00</t>
  </si>
  <si>
    <t>A to B (Northbound)</t>
  </si>
  <si>
    <t>B to A (Southbound)</t>
  </si>
  <si>
    <t>Bristol City Council</t>
  </si>
  <si>
    <t>ID02343</t>
  </si>
  <si>
    <t>Clear and Sunny</t>
  </si>
  <si>
    <t>09.07.2015</t>
  </si>
  <si>
    <t>Easton Safer Streets</t>
  </si>
  <si>
    <t>Rigid</t>
  </si>
  <si>
    <t>Artic</t>
  </si>
  <si>
    <t>Luke Martin</t>
  </si>
  <si>
    <t>Paul O'Neill</t>
  </si>
  <si>
    <t>Chris Mason</t>
  </si>
  <si>
    <t>Deepjot Wasu</t>
  </si>
  <si>
    <t>Robertson Road</t>
  </si>
  <si>
    <t>Robertson Road (S)</t>
  </si>
  <si>
    <t>Robertson Road (N)</t>
  </si>
  <si>
    <t>vt</t>
  </si>
  <si>
    <t>ID02343 Easton Safer Streets - Link Count - ANPR Site 18</t>
  </si>
  <si>
    <t>LM</t>
  </si>
  <si>
    <t>ANPR Site 18</t>
  </si>
  <si>
    <t>18.08.2015</t>
  </si>
  <si>
    <t>17.08.2015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</si>
</sst>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"/>
    <numFmt numFmtId="166" formatCode="0.0%"/>
  </numFmts>
  <fonts count="20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4"/>
      <name val="Tahoma"/>
      <family val="2"/>
    </font>
    <font>
      <sz val="12"/>
      <name val="Tahoma"/>
      <family val="2"/>
    </font>
    <font>
      <b/>
      <sz val="10"/>
      <color rgb="FF000000"/>
      <name val="Tahoma"/>
      <family val="2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Tahoma"/>
      <family val="2"/>
    </font>
    <font>
      <b/>
      <sz val="10"/>
      <color theme="1"/>
      <name val="Tahoma"/>
      <family val="2"/>
    </font>
    <font>
      <sz val="10"/>
      <color theme="0" tint="-0.34998626667073579"/>
      <name val="Tahoma"/>
      <family val="2"/>
    </font>
    <font>
      <i/>
      <sz val="10"/>
      <name val="Tahoma"/>
      <family val="2"/>
    </font>
    <font>
      <i/>
      <sz val="10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auto="1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auto="1"/>
      </top>
      <bottom style="thin">
        <color indexed="64"/>
      </bottom>
      <diagonal/>
    </border>
    <border>
      <left/>
      <right style="thin">
        <color indexed="64"/>
      </right>
      <top style="dotted">
        <color auto="1"/>
      </top>
      <bottom style="thin">
        <color indexed="64"/>
      </bottom>
      <diagonal/>
    </border>
    <border>
      <left/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/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35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 vertical="center"/>
    </xf>
    <xf numFmtId="20" fontId="3" fillId="0" borderId="5" xfId="0" applyNumberFormat="1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0" fontId="6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Alignment="1"/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8" fillId="0" borderId="0" xfId="0" applyFont="1" applyProtection="1">
      <protection locked="0"/>
    </xf>
    <xf numFmtId="1" fontId="3" fillId="0" borderId="7" xfId="0" applyNumberFormat="1" applyFont="1" applyFill="1" applyBorder="1" applyAlignment="1">
      <alignment horizontal="center" vertical="center"/>
    </xf>
    <xf numFmtId="20" fontId="3" fillId="0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9" fillId="0" borderId="0" xfId="0" applyFont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4" xfId="0" applyFont="1" applyBorder="1" applyProtection="1">
      <protection locked="0"/>
    </xf>
    <xf numFmtId="0" fontId="3" fillId="0" borderId="25" xfId="0" applyFont="1" applyBorder="1" applyProtection="1">
      <protection locked="0"/>
    </xf>
    <xf numFmtId="0" fontId="3" fillId="0" borderId="26" xfId="0" applyFont="1" applyBorder="1" applyProtection="1">
      <protection locked="0"/>
    </xf>
    <xf numFmtId="0" fontId="3" fillId="0" borderId="27" xfId="0" applyFont="1" applyBorder="1" applyProtection="1">
      <protection locked="0"/>
    </xf>
    <xf numFmtId="0" fontId="3" fillId="0" borderId="28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14" fontId="3" fillId="0" borderId="0" xfId="0" applyNumberFormat="1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 wrapText="1"/>
    </xf>
    <xf numFmtId="20" fontId="3" fillId="0" borderId="6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20" fontId="3" fillId="0" borderId="5" xfId="0" applyNumberFormat="1" applyFont="1" applyFill="1" applyBorder="1" applyAlignment="1" applyProtection="1">
      <alignment horizontal="center" vertical="center"/>
    </xf>
    <xf numFmtId="20" fontId="3" fillId="0" borderId="5" xfId="0" applyNumberFormat="1" applyFont="1" applyBorder="1" applyAlignment="1" applyProtection="1">
      <alignment horizontal="center" vertical="center"/>
    </xf>
    <xf numFmtId="20" fontId="3" fillId="0" borderId="9" xfId="0" applyNumberFormat="1" applyFont="1" applyFill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8" xfId="1" applyFont="1" applyBorder="1" applyAlignment="1" applyProtection="1">
      <alignment horizontal="center"/>
      <protection locked="0"/>
    </xf>
    <xf numFmtId="0" fontId="3" fillId="0" borderId="29" xfId="1" applyFont="1" applyBorder="1" applyAlignment="1" applyProtection="1">
      <alignment horizontal="center"/>
      <protection locked="0"/>
    </xf>
    <xf numFmtId="0" fontId="3" fillId="0" borderId="30" xfId="1" applyFont="1" applyBorder="1" applyProtection="1">
      <protection locked="0"/>
    </xf>
    <xf numFmtId="0" fontId="3" fillId="0" borderId="31" xfId="1" applyFont="1" applyBorder="1" applyProtection="1">
      <protection locked="0"/>
    </xf>
    <xf numFmtId="0" fontId="3" fillId="0" borderId="32" xfId="1" applyFont="1" applyBorder="1" applyProtection="1">
      <protection locked="0"/>
    </xf>
    <xf numFmtId="0" fontId="3" fillId="0" borderId="25" xfId="1" applyFont="1" applyBorder="1" applyAlignment="1" applyProtection="1">
      <alignment horizontal="center"/>
      <protection locked="0"/>
    </xf>
    <xf numFmtId="0" fontId="3" fillId="0" borderId="25" xfId="1" applyFont="1" applyBorder="1" applyProtection="1">
      <protection locked="0"/>
    </xf>
    <xf numFmtId="0" fontId="3" fillId="0" borderId="26" xfId="1" applyFont="1" applyBorder="1" applyProtection="1">
      <protection locked="0"/>
    </xf>
    <xf numFmtId="0" fontId="10" fillId="0" borderId="0" xfId="0" applyFont="1" applyProtection="1">
      <protection locked="0"/>
    </xf>
    <xf numFmtId="0" fontId="3" fillId="0" borderId="0" xfId="0" applyFont="1" applyBorder="1" applyAlignment="1" applyProtection="1">
      <protection locked="0"/>
    </xf>
    <xf numFmtId="0" fontId="4" fillId="2" borderId="3" xfId="0" applyFont="1" applyFill="1" applyBorder="1" applyAlignment="1">
      <alignment horizontal="center" vertical="center"/>
    </xf>
    <xf numFmtId="14" fontId="3" fillId="0" borderId="25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8" xfId="1" applyFont="1" applyFill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8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/>
    </xf>
    <xf numFmtId="1" fontId="3" fillId="0" borderId="8" xfId="0" applyNumberFormat="1" applyFont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0" borderId="0" xfId="0" applyFont="1" applyFill="1" applyBorder="1"/>
    <xf numFmtId="0" fontId="3" fillId="0" borderId="14" xfId="0" applyFont="1" applyFill="1" applyBorder="1"/>
    <xf numFmtId="0" fontId="4" fillId="0" borderId="16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20" xfId="0" applyFont="1" applyBorder="1"/>
    <xf numFmtId="0" fontId="3" fillId="0" borderId="0" xfId="0" applyFont="1" applyAlignment="1">
      <alignment horizontal="right"/>
    </xf>
    <xf numFmtId="0" fontId="14" fillId="0" borderId="0" xfId="4" applyFont="1" applyAlignment="1" applyProtection="1">
      <alignment horizontal="right"/>
    </xf>
    <xf numFmtId="0" fontId="4" fillId="0" borderId="13" xfId="0" applyFont="1" applyBorder="1"/>
    <xf numFmtId="0" fontId="4" fillId="0" borderId="14" xfId="0" applyFont="1" applyBorder="1"/>
    <xf numFmtId="0" fontId="4" fillId="0" borderId="1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17" xfId="0" applyBorder="1"/>
    <xf numFmtId="0" fontId="0" fillId="0" borderId="20" xfId="0" applyBorder="1"/>
    <xf numFmtId="0" fontId="0" fillId="0" borderId="0" xfId="0" applyBorder="1"/>
    <xf numFmtId="0" fontId="3" fillId="0" borderId="0" xfId="0" applyFont="1" applyBorder="1" applyAlignment="1"/>
    <xf numFmtId="14" fontId="3" fillId="0" borderId="0" xfId="0" applyNumberFormat="1" applyFont="1" applyBorder="1" applyAlignment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16" xfId="0" applyBorder="1"/>
    <xf numFmtId="0" fontId="3" fillId="0" borderId="20" xfId="0" applyFont="1" applyBorder="1"/>
    <xf numFmtId="0" fontId="4" fillId="2" borderId="3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3" fillId="3" borderId="34" xfId="0" applyFont="1" applyFill="1" applyBorder="1"/>
    <xf numFmtId="0" fontId="0" fillId="3" borderId="34" xfId="0" applyFill="1" applyBorder="1"/>
    <xf numFmtId="0" fontId="0" fillId="3" borderId="35" xfId="0" applyFill="1" applyBorder="1"/>
    <xf numFmtId="0" fontId="4" fillId="3" borderId="36" xfId="0" applyFont="1" applyFill="1" applyBorder="1" applyAlignment="1">
      <alignment horizontal="left"/>
    </xf>
    <xf numFmtId="1" fontId="3" fillId="0" borderId="7" xfId="0" applyNumberFormat="1" applyFont="1" applyBorder="1" applyAlignment="1" applyProtection="1">
      <alignment horizontal="center" vertical="center"/>
    </xf>
    <xf numFmtId="0" fontId="3" fillId="2" borderId="8" xfId="1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 applyProtection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20" fontId="3" fillId="0" borderId="0" xfId="0" applyNumberFormat="1" applyFont="1"/>
    <xf numFmtId="0" fontId="3" fillId="0" borderId="37" xfId="0" applyFont="1" applyBorder="1" applyAlignment="1">
      <alignment horizontal="center"/>
    </xf>
    <xf numFmtId="0" fontId="3" fillId="0" borderId="39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 applyProtection="1">
      <alignment horizontal="center" vertical="center"/>
      <protection locked="0"/>
    </xf>
    <xf numFmtId="165" fontId="3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right"/>
    </xf>
    <xf numFmtId="165" fontId="3" fillId="0" borderId="0" xfId="0" applyNumberFormat="1" applyFont="1" applyAlignment="1">
      <alignment horizont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right"/>
    </xf>
    <xf numFmtId="1" fontId="3" fillId="0" borderId="0" xfId="0" applyNumberFormat="1" applyFont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18" fillId="0" borderId="0" xfId="0" applyFont="1"/>
    <xf numFmtId="0" fontId="3" fillId="0" borderId="38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20" fontId="3" fillId="7" borderId="0" xfId="0" applyNumberFormat="1" applyFont="1" applyFill="1" applyAlignment="1">
      <alignment horizontal="center"/>
    </xf>
    <xf numFmtId="20" fontId="3" fillId="0" borderId="0" xfId="0" applyNumberFormat="1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4" borderId="42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1" fontId="3" fillId="8" borderId="0" xfId="0" applyNumberFormat="1" applyFont="1" applyFill="1" applyAlignment="1">
      <alignment horizontal="center"/>
    </xf>
    <xf numFmtId="0" fontId="18" fillId="0" borderId="0" xfId="0" applyFont="1" applyAlignment="1">
      <alignment horizontal="right" vertical="center" textRotation="90" wrapText="1"/>
    </xf>
    <xf numFmtId="0" fontId="4" fillId="0" borderId="4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0" xfId="0" applyAlignment="1">
      <alignment horizontal="right"/>
    </xf>
    <xf numFmtId="20" fontId="3" fillId="0" borderId="0" xfId="0" applyNumberFormat="1" applyFont="1" applyAlignment="1"/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" fontId="3" fillId="0" borderId="0" xfId="0" applyNumberFormat="1" applyFont="1"/>
    <xf numFmtId="0" fontId="18" fillId="0" borderId="0" xfId="0" applyFont="1" applyAlignment="1">
      <alignment horizontal="right" vertical="center" textRotation="90" wrapText="1"/>
    </xf>
    <xf numFmtId="0" fontId="3" fillId="0" borderId="0" xfId="0" applyFont="1" applyAlignment="1">
      <alignment horizontal="center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 applyProtection="1">
      <alignment horizontal="center"/>
    </xf>
    <xf numFmtId="0" fontId="4" fillId="0" borderId="43" xfId="0" applyFont="1" applyBorder="1" applyAlignment="1">
      <alignment horizontal="center"/>
    </xf>
    <xf numFmtId="20" fontId="3" fillId="0" borderId="44" xfId="0" applyNumberFormat="1" applyFont="1" applyBorder="1" applyAlignment="1" applyProtection="1">
      <alignment horizontal="center"/>
    </xf>
    <xf numFmtId="0" fontId="4" fillId="0" borderId="44" xfId="0" applyFont="1" applyBorder="1" applyAlignment="1" applyProtection="1">
      <alignment horizontal="center" vertical="center"/>
    </xf>
    <xf numFmtId="20" fontId="3" fillId="0" borderId="44" xfId="0" applyNumberFormat="1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20" fontId="3" fillId="0" borderId="37" xfId="0" applyNumberFormat="1" applyFont="1" applyBorder="1" applyAlignment="1" applyProtection="1">
      <alignment horizontal="center"/>
    </xf>
    <xf numFmtId="0" fontId="4" fillId="0" borderId="37" xfId="0" applyFont="1" applyBorder="1" applyAlignment="1" applyProtection="1">
      <alignment horizontal="center" vertical="center"/>
    </xf>
    <xf numFmtId="20" fontId="3" fillId="0" borderId="37" xfId="0" applyNumberFormat="1" applyFont="1" applyBorder="1" applyAlignment="1">
      <alignment horizontal="center"/>
    </xf>
    <xf numFmtId="1" fontId="3" fillId="0" borderId="47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49" xfId="0" applyNumberFormat="1" applyFont="1" applyBorder="1" applyAlignment="1">
      <alignment horizontal="center"/>
    </xf>
    <xf numFmtId="166" fontId="3" fillId="0" borderId="47" xfId="0" applyNumberFormat="1" applyFont="1" applyBorder="1" applyAlignment="1">
      <alignment horizontal="center"/>
    </xf>
    <xf numFmtId="166" fontId="3" fillId="0" borderId="51" xfId="0" applyNumberFormat="1" applyFont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2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0" borderId="39" xfId="0" applyNumberFormat="1" applyFont="1" applyBorder="1" applyAlignment="1" applyProtection="1">
      <alignment horizontal="center"/>
    </xf>
    <xf numFmtId="1" fontId="3" fillId="0" borderId="40" xfId="0" applyNumberFormat="1" applyFont="1" applyBorder="1" applyAlignment="1" applyProtection="1">
      <alignment horizontal="center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3" fillId="7" borderId="0" xfId="0" applyFont="1" applyFill="1" applyAlignment="1">
      <alignment horizontal="left"/>
    </xf>
    <xf numFmtId="0" fontId="18" fillId="0" borderId="0" xfId="0" applyFont="1" applyAlignment="1">
      <alignment horizontal="right" vertical="center" textRotation="90" wrapText="1"/>
    </xf>
    <xf numFmtId="0" fontId="3" fillId="0" borderId="37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9" fillId="0" borderId="0" xfId="0" applyFont="1"/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/>
    </xf>
    <xf numFmtId="0" fontId="19" fillId="0" borderId="0" xfId="0" applyFont="1" applyFill="1" applyAlignment="1">
      <alignment horizontal="left" vertical="center"/>
    </xf>
    <xf numFmtId="0" fontId="3" fillId="0" borderId="37" xfId="0" applyFont="1" applyBorder="1"/>
    <xf numFmtId="165" fontId="3" fillId="0" borderId="37" xfId="0" applyNumberFormat="1" applyFont="1" applyFill="1" applyBorder="1" applyAlignment="1" applyProtection="1">
      <alignment horizontal="center" vertical="center"/>
      <protection locked="0"/>
    </xf>
    <xf numFmtId="20" fontId="3" fillId="0" borderId="0" xfId="0" applyNumberFormat="1" applyFont="1" applyAlignment="1">
      <alignment horizontal="center"/>
    </xf>
    <xf numFmtId="0" fontId="3" fillId="9" borderId="38" xfId="0" applyFont="1" applyFill="1" applyBorder="1"/>
    <xf numFmtId="0" fontId="4" fillId="9" borderId="39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4" fillId="0" borderId="38" xfId="0" applyFont="1" applyBorder="1" applyAlignment="1">
      <alignment horizontal="center"/>
    </xf>
    <xf numFmtId="1" fontId="3" fillId="0" borderId="59" xfId="0" applyNumberFormat="1" applyFont="1" applyBorder="1" applyAlignment="1">
      <alignment horizontal="center"/>
    </xf>
    <xf numFmtId="1" fontId="3" fillId="0" borderId="57" xfId="0" applyNumberFormat="1" applyFont="1" applyBorder="1" applyAlignment="1">
      <alignment horizontal="center"/>
    </xf>
    <xf numFmtId="166" fontId="3" fillId="0" borderId="59" xfId="0" applyNumberFormat="1" applyFont="1" applyBorder="1" applyAlignment="1">
      <alignment horizontal="center"/>
    </xf>
    <xf numFmtId="166" fontId="3" fillId="0" borderId="57" xfId="0" applyNumberFormat="1" applyFont="1" applyBorder="1" applyAlignment="1">
      <alignment horizontal="center"/>
    </xf>
    <xf numFmtId="1" fontId="3" fillId="0" borderId="62" xfId="0" applyNumberFormat="1" applyFont="1" applyBorder="1" applyAlignment="1">
      <alignment horizontal="center"/>
    </xf>
    <xf numFmtId="1" fontId="3" fillId="0" borderId="63" xfId="0" applyNumberFormat="1" applyFont="1" applyBorder="1" applyAlignment="1">
      <alignment horizontal="center"/>
    </xf>
    <xf numFmtId="1" fontId="3" fillId="0" borderId="60" xfId="0" applyNumberFormat="1" applyFont="1" applyBorder="1" applyAlignment="1">
      <alignment horizontal="center"/>
    </xf>
    <xf numFmtId="166" fontId="3" fillId="0" borderId="62" xfId="0" applyNumberFormat="1" applyFont="1" applyBorder="1" applyAlignment="1">
      <alignment horizontal="center"/>
    </xf>
    <xf numFmtId="166" fontId="3" fillId="0" borderId="63" xfId="0" applyNumberFormat="1" applyFont="1" applyBorder="1" applyAlignment="1">
      <alignment horizontal="center"/>
    </xf>
    <xf numFmtId="166" fontId="3" fillId="0" borderId="60" xfId="0" applyNumberFormat="1" applyFont="1" applyBorder="1" applyAlignment="1">
      <alignment horizontal="center"/>
    </xf>
    <xf numFmtId="20" fontId="3" fillId="0" borderId="11" xfId="0" applyNumberFormat="1" applyFont="1" applyFill="1" applyBorder="1" applyAlignment="1" applyProtection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4" fillId="9" borderId="40" xfId="0" applyFont="1" applyFill="1" applyBorder="1" applyAlignment="1"/>
    <xf numFmtId="0" fontId="3" fillId="9" borderId="38" xfId="0" applyFont="1" applyFill="1" applyBorder="1" applyAlignment="1"/>
    <xf numFmtId="0" fontId="3" fillId="9" borderId="64" xfId="0" applyFont="1" applyFill="1" applyBorder="1" applyAlignment="1">
      <alignment horizontal="center" vertical="center"/>
    </xf>
    <xf numFmtId="0" fontId="3" fillId="9" borderId="65" xfId="0" applyFont="1" applyFill="1" applyBorder="1" applyAlignment="1">
      <alignment vertical="center"/>
    </xf>
    <xf numFmtId="0" fontId="3" fillId="9" borderId="31" xfId="0" applyFont="1" applyFill="1" applyBorder="1" applyAlignment="1">
      <alignment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7" borderId="0" xfId="0" applyFont="1" applyFill="1" applyAlignment="1" applyProtection="1">
      <alignment horizontal="left" vertical="center"/>
    </xf>
    <xf numFmtId="14" fontId="3" fillId="7" borderId="0" xfId="0" applyNumberFormat="1" applyFont="1" applyFill="1" applyAlignment="1" applyProtection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/>
    <xf numFmtId="0" fontId="3" fillId="0" borderId="0" xfId="0" applyFont="1" applyFill="1" applyAlignment="1" applyProtection="1">
      <alignment horizontal="left"/>
    </xf>
    <xf numFmtId="14" fontId="3" fillId="0" borderId="0" xfId="0" applyNumberFormat="1" applyFont="1" applyFill="1" applyAlignment="1" applyProtection="1">
      <alignment horizontal="left"/>
    </xf>
    <xf numFmtId="0" fontId="3" fillId="9" borderId="0" xfId="0" applyFont="1" applyFill="1"/>
    <xf numFmtId="0" fontId="3" fillId="0" borderId="0" xfId="0" applyFont="1" applyAlignment="1">
      <alignment horizontal="center"/>
    </xf>
    <xf numFmtId="14" fontId="3" fillId="7" borderId="0" xfId="0" applyNumberFormat="1" applyFont="1" applyFill="1" applyAlignment="1" applyProtection="1">
      <alignment vertical="center"/>
    </xf>
    <xf numFmtId="0" fontId="3" fillId="0" borderId="0" xfId="0" applyFont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9" borderId="66" xfId="0" applyFont="1" applyFill="1" applyBorder="1" applyAlignment="1">
      <alignment vertical="center"/>
    </xf>
    <xf numFmtId="0" fontId="18" fillId="0" borderId="0" xfId="0" applyFont="1" applyAlignment="1">
      <alignment horizontal="right" vertical="center" textRotation="90" wrapText="1"/>
    </xf>
    <xf numFmtId="0" fontId="3" fillId="6" borderId="39" xfId="0" applyFont="1" applyFill="1" applyBorder="1" applyAlignment="1">
      <alignment horizontal="center"/>
    </xf>
    <xf numFmtId="1" fontId="3" fillId="0" borderId="37" xfId="0" applyNumberFormat="1" applyFont="1" applyBorder="1" applyAlignment="1">
      <alignment horizontal="center"/>
    </xf>
    <xf numFmtId="1" fontId="3" fillId="0" borderId="38" xfId="0" applyNumberFormat="1" applyFont="1" applyBorder="1" applyAlignment="1">
      <alignment horizontal="center"/>
    </xf>
    <xf numFmtId="10" fontId="3" fillId="0" borderId="37" xfId="0" applyNumberFormat="1" applyFont="1" applyBorder="1" applyAlignment="1">
      <alignment horizontal="center"/>
    </xf>
    <xf numFmtId="10" fontId="3" fillId="0" borderId="38" xfId="0" applyNumberFormat="1" applyFont="1" applyBorder="1" applyAlignment="1">
      <alignment horizontal="center"/>
    </xf>
    <xf numFmtId="10" fontId="3" fillId="0" borderId="39" xfId="0" applyNumberFormat="1" applyFont="1" applyBorder="1" applyAlignment="1">
      <alignment horizontal="center"/>
    </xf>
    <xf numFmtId="0" fontId="4" fillId="6" borderId="58" xfId="0" applyFont="1" applyFill="1" applyBorder="1" applyAlignment="1">
      <alignment horizontal="center"/>
    </xf>
    <xf numFmtId="0" fontId="4" fillId="6" borderId="6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3" fillId="0" borderId="21" xfId="1" applyFont="1" applyBorder="1" applyAlignment="1">
      <alignment horizontal="center"/>
    </xf>
    <xf numFmtId="0" fontId="3" fillId="0" borderId="27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4" fillId="9" borderId="52" xfId="0" applyFont="1" applyFill="1" applyBorder="1"/>
    <xf numFmtId="0" fontId="4" fillId="9" borderId="0" xfId="0" applyFont="1" applyFill="1" applyBorder="1"/>
    <xf numFmtId="0" fontId="3" fillId="9" borderId="55" xfId="0" applyFont="1" applyFill="1" applyBorder="1" applyAlignment="1">
      <alignment vertical="center" wrapText="1"/>
    </xf>
    <xf numFmtId="0" fontId="3" fillId="9" borderId="47" xfId="0" applyFont="1" applyFill="1" applyBorder="1" applyAlignment="1">
      <alignment vertical="center" wrapText="1"/>
    </xf>
    <xf numFmtId="0" fontId="3" fillId="9" borderId="48" xfId="0" applyFont="1" applyFill="1" applyBorder="1" applyAlignment="1">
      <alignment vertical="center" wrapText="1"/>
    </xf>
    <xf numFmtId="0" fontId="3" fillId="9" borderId="56" xfId="0" applyFont="1" applyFill="1" applyBorder="1" applyAlignment="1">
      <alignment vertical="center" wrapText="1"/>
    </xf>
    <xf numFmtId="0" fontId="3" fillId="9" borderId="53" xfId="0" applyFont="1" applyFill="1" applyBorder="1" applyAlignment="1">
      <alignment vertical="center" wrapText="1"/>
    </xf>
    <xf numFmtId="0" fontId="3" fillId="9" borderId="54" xfId="0" applyFont="1" applyFill="1" applyBorder="1" applyAlignment="1">
      <alignment vertical="center" wrapText="1"/>
    </xf>
    <xf numFmtId="0" fontId="3" fillId="9" borderId="67" xfId="0" applyFont="1" applyFill="1" applyBorder="1" applyAlignment="1">
      <alignment vertical="center"/>
    </xf>
    <xf numFmtId="0" fontId="3" fillId="9" borderId="68" xfId="0" applyFont="1" applyFill="1" applyBorder="1" applyAlignment="1">
      <alignment vertical="center"/>
    </xf>
    <xf numFmtId="0" fontId="3" fillId="9" borderId="66" xfId="0" applyFont="1" applyFill="1" applyBorder="1" applyAlignment="1">
      <alignment vertical="center"/>
    </xf>
    <xf numFmtId="0" fontId="3" fillId="9" borderId="41" xfId="0" applyFont="1" applyFill="1" applyBorder="1"/>
    <xf numFmtId="0" fontId="3" fillId="9" borderId="37" xfId="0" applyFont="1" applyFill="1" applyBorder="1"/>
    <xf numFmtId="0" fontId="3" fillId="9" borderId="39" xfId="0" applyFont="1" applyFill="1" applyBorder="1"/>
    <xf numFmtId="0" fontId="3" fillId="9" borderId="52" xfId="0" applyFont="1" applyFill="1" applyBorder="1"/>
    <xf numFmtId="0" fontId="3" fillId="9" borderId="0" xfId="0" applyFont="1" applyFill="1" applyBorder="1"/>
    <xf numFmtId="0" fontId="3" fillId="7" borderId="0" xfId="0" applyFont="1" applyFill="1"/>
    <xf numFmtId="0" fontId="3" fillId="9" borderId="52" xfId="0" applyFont="1" applyFill="1" applyBorder="1" applyAlignment="1">
      <alignment vertical="center" wrapText="1"/>
    </xf>
    <xf numFmtId="0" fontId="3" fillId="9" borderId="0" xfId="0" applyFont="1" applyFill="1" applyBorder="1" applyAlignment="1">
      <alignment vertical="center" wrapText="1"/>
    </xf>
    <xf numFmtId="0" fontId="3" fillId="9" borderId="38" xfId="0" applyFont="1" applyFill="1" applyBorder="1" applyAlignment="1">
      <alignment vertical="center" wrapText="1"/>
    </xf>
    <xf numFmtId="0" fontId="3" fillId="9" borderId="52" xfId="0" applyFont="1" applyFill="1" applyBorder="1" applyAlignment="1">
      <alignment horizontal="left" vertical="center" wrapText="1"/>
    </xf>
    <xf numFmtId="0" fontId="3" fillId="9" borderId="0" xfId="0" applyFont="1" applyFill="1" applyBorder="1" applyAlignment="1">
      <alignment horizontal="left" vertical="center" wrapText="1"/>
    </xf>
    <xf numFmtId="0" fontId="3" fillId="9" borderId="38" xfId="0" applyFont="1" applyFill="1" applyBorder="1" applyAlignment="1">
      <alignment horizontal="left" vertical="center" wrapText="1"/>
    </xf>
    <xf numFmtId="0" fontId="3" fillId="9" borderId="55" xfId="0" applyFont="1" applyFill="1" applyBorder="1" applyAlignment="1">
      <alignment horizontal="left" vertical="center" wrapText="1"/>
    </xf>
    <xf numFmtId="0" fontId="3" fillId="9" borderId="47" xfId="0" applyFont="1" applyFill="1" applyBorder="1" applyAlignment="1">
      <alignment horizontal="left" vertical="center" wrapText="1"/>
    </xf>
    <xf numFmtId="0" fontId="3" fillId="9" borderId="48" xfId="0" applyFont="1" applyFill="1" applyBorder="1" applyAlignment="1">
      <alignment horizontal="left" vertical="center" wrapText="1"/>
    </xf>
    <xf numFmtId="0" fontId="4" fillId="9" borderId="41" xfId="0" applyFont="1" applyFill="1" applyBorder="1" applyAlignment="1">
      <alignment horizontal="left"/>
    </xf>
    <xf numFmtId="0" fontId="4" fillId="9" borderId="37" xfId="0" applyFont="1" applyFill="1" applyBorder="1" applyAlignment="1">
      <alignment horizontal="left"/>
    </xf>
    <xf numFmtId="0" fontId="4" fillId="9" borderId="39" xfId="0" applyFont="1" applyFill="1" applyBorder="1" applyAlignment="1">
      <alignment horizontal="left"/>
    </xf>
    <xf numFmtId="0" fontId="3" fillId="8" borderId="0" xfId="0" applyFont="1" applyFill="1" applyAlignment="1">
      <alignment horizontal="left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9" borderId="41" xfId="0" applyFont="1" applyFill="1" applyBorder="1" applyAlignment="1">
      <alignment horizontal="left" vertical="center" wrapText="1"/>
    </xf>
    <xf numFmtId="0" fontId="3" fillId="9" borderId="37" xfId="0" applyFont="1" applyFill="1" applyBorder="1" applyAlignment="1">
      <alignment horizontal="left" vertical="center" wrapText="1"/>
    </xf>
    <xf numFmtId="0" fontId="3" fillId="9" borderId="39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9" borderId="54" xfId="0" applyFont="1" applyFill="1" applyBorder="1" applyAlignment="1">
      <alignment horizontal="center"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4" fillId="9" borderId="43" xfId="0" applyFont="1" applyFill="1" applyBorder="1" applyAlignment="1"/>
    <xf numFmtId="0" fontId="4" fillId="9" borderId="44" xfId="0" applyFont="1" applyFill="1" applyBorder="1" applyAlignment="1"/>
    <xf numFmtId="0" fontId="3" fillId="9" borderId="52" xfId="0" applyFont="1" applyFill="1" applyBorder="1" applyAlignment="1"/>
    <xf numFmtId="0" fontId="3" fillId="9" borderId="0" xfId="0" applyFont="1" applyFill="1" applyBorder="1" applyAlignment="1"/>
    <xf numFmtId="0" fontId="3" fillId="9" borderId="69" xfId="0" applyFont="1" applyFill="1" applyBorder="1" applyAlignment="1">
      <alignment vertical="center" wrapText="1"/>
    </xf>
    <xf numFmtId="0" fontId="3" fillId="9" borderId="70" xfId="0" applyFont="1" applyFill="1" applyBorder="1" applyAlignment="1">
      <alignment vertical="center" wrapText="1"/>
    </xf>
    <xf numFmtId="0" fontId="3" fillId="9" borderId="71" xfId="0" applyFont="1" applyFill="1" applyBorder="1" applyAlignment="1">
      <alignment vertical="center" wrapText="1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17" xfId="0" applyFont="1" applyBorder="1" applyAlignment="1" applyProtection="1">
      <alignment horizontal="left" vertical="top" wrapText="1"/>
      <protection locked="0"/>
    </xf>
    <xf numFmtId="0" fontId="3" fillId="0" borderId="18" xfId="0" applyFont="1" applyBorder="1" applyAlignment="1" applyProtection="1">
      <alignment horizontal="left" vertical="top" wrapText="1"/>
      <protection locked="0"/>
    </xf>
    <xf numFmtId="0" fontId="3" fillId="0" borderId="19" xfId="0" applyFont="1" applyBorder="1" applyAlignment="1" applyProtection="1">
      <alignment horizontal="left" vertical="top" wrapText="1"/>
      <protection locked="0"/>
    </xf>
    <xf numFmtId="0" fontId="3" fillId="0" borderId="20" xfId="0" applyFont="1" applyBorder="1" applyAlignment="1" applyProtection="1">
      <alignment horizontal="left" vertical="top" wrapText="1"/>
      <protection locked="0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3" fillId="4" borderId="13" xfId="0" applyFont="1" applyFill="1" applyBorder="1" applyAlignment="1" applyProtection="1">
      <alignment horizontal="center" vertical="center" wrapText="1"/>
      <protection locked="0"/>
    </xf>
    <xf numFmtId="0" fontId="3" fillId="4" borderId="15" xfId="0" applyFont="1" applyFill="1" applyBorder="1" applyAlignment="1" applyProtection="1">
      <alignment horizontal="center" vertical="center" wrapText="1"/>
      <protection locked="0"/>
    </xf>
    <xf numFmtId="0" fontId="3" fillId="4" borderId="16" xfId="0" applyFont="1" applyFill="1" applyBorder="1" applyAlignment="1" applyProtection="1">
      <alignment horizontal="center" vertical="center" wrapText="1"/>
      <protection locked="0"/>
    </xf>
    <xf numFmtId="0" fontId="3" fillId="4" borderId="17" xfId="0" applyFont="1" applyFill="1" applyBorder="1" applyAlignment="1" applyProtection="1">
      <alignment horizontal="center" vertical="center" wrapText="1"/>
      <protection locked="0"/>
    </xf>
    <xf numFmtId="0" fontId="3" fillId="4" borderId="18" xfId="0" applyFont="1" applyFill="1" applyBorder="1" applyAlignment="1" applyProtection="1">
      <alignment horizontal="center" vertical="center" wrapText="1"/>
      <protection locked="0"/>
    </xf>
    <xf numFmtId="0" fontId="3" fillId="4" borderId="20" xfId="0" applyFont="1" applyFill="1" applyBorder="1" applyAlignment="1" applyProtection="1">
      <alignment horizontal="center" vertical="center" wrapText="1"/>
      <protection locked="0"/>
    </xf>
    <xf numFmtId="0" fontId="3" fillId="6" borderId="13" xfId="0" applyFont="1" applyFill="1" applyBorder="1" applyAlignment="1" applyProtection="1">
      <alignment horizontal="center" vertical="center" wrapText="1"/>
      <protection locked="0"/>
    </xf>
    <xf numFmtId="0" fontId="3" fillId="6" borderId="15" xfId="0" applyFont="1" applyFill="1" applyBorder="1" applyAlignment="1" applyProtection="1">
      <alignment horizontal="center" vertical="center" wrapText="1"/>
      <protection locked="0"/>
    </xf>
    <xf numFmtId="0" fontId="3" fillId="6" borderId="16" xfId="0" applyFont="1" applyFill="1" applyBorder="1" applyAlignment="1" applyProtection="1">
      <alignment horizontal="center" vertical="center" wrapText="1"/>
      <protection locked="0"/>
    </xf>
    <xf numFmtId="0" fontId="3" fillId="6" borderId="17" xfId="0" applyFont="1" applyFill="1" applyBorder="1" applyAlignment="1" applyProtection="1">
      <alignment horizontal="center" vertical="center" wrapText="1"/>
      <protection locked="0"/>
    </xf>
    <xf numFmtId="0" fontId="3" fillId="6" borderId="18" xfId="0" applyFont="1" applyFill="1" applyBorder="1" applyAlignment="1" applyProtection="1">
      <alignment horizontal="center" vertical="center" wrapText="1"/>
      <protection locked="0"/>
    </xf>
    <xf numFmtId="0" fontId="3" fillId="6" borderId="20" xfId="0" applyFont="1" applyFill="1" applyBorder="1" applyAlignment="1" applyProtection="1">
      <alignment horizontal="center" vertical="center" wrapText="1"/>
      <protection locked="0"/>
    </xf>
    <xf numFmtId="0" fontId="16" fillId="3" borderId="33" xfId="0" applyFont="1" applyFill="1" applyBorder="1" applyAlignment="1">
      <alignment horizontal="left"/>
    </xf>
    <xf numFmtId="0" fontId="16" fillId="3" borderId="34" xfId="0" applyFont="1" applyFill="1" applyBorder="1" applyAlignment="1">
      <alignment horizontal="left"/>
    </xf>
    <xf numFmtId="0" fontId="16" fillId="3" borderId="35" xfId="0" applyFont="1" applyFill="1" applyBorder="1" applyAlignment="1">
      <alignment horizontal="left"/>
    </xf>
    <xf numFmtId="0" fontId="11" fillId="3" borderId="3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3" borderId="35" xfId="0" applyFont="1" applyFill="1" applyBorder="1" applyAlignment="1">
      <alignment horizontal="center" vertical="center" wrapText="1"/>
    </xf>
    <xf numFmtId="0" fontId="15" fillId="0" borderId="33" xfId="4" applyFont="1" applyBorder="1" applyAlignment="1" applyProtection="1">
      <alignment horizontal="center"/>
    </xf>
    <xf numFmtId="0" fontId="15" fillId="0" borderId="34" xfId="4" applyFont="1" applyBorder="1" applyAlignment="1" applyProtection="1">
      <alignment horizontal="center"/>
    </xf>
    <xf numFmtId="0" fontId="15" fillId="0" borderId="35" xfId="4" applyFont="1" applyBorder="1" applyAlignment="1" applyProtection="1">
      <alignment horizont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6" borderId="12" xfId="0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12" xfId="0" applyFont="1" applyFill="1" applyBorder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 applyProtection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20" fontId="3" fillId="3" borderId="0" xfId="0" applyNumberFormat="1" applyFont="1" applyFill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39" xfId="0" applyFont="1" applyBorder="1" applyAlignment="1">
      <alignment horizontal="center"/>
    </xf>
  </cellXfs>
  <cellStyles count="5">
    <cellStyle name="Excel Built-in Normal" xfId="2"/>
    <cellStyle name="Hyperlink" xfId="4" builtinId="8"/>
    <cellStyle name="Normal" xfId="0" builtinId="0"/>
    <cellStyle name="Normal 14" xfId="3"/>
    <cellStyle name="Normal 2" xfId="1"/>
  </cellStyles>
  <dxfs count="2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Arm Approach</a:t>
            </a:r>
            <a:r>
              <a:rPr lang="en-US" baseline="0"/>
              <a:t> </a:t>
            </a:r>
            <a:r>
              <a:rPr lang="en-US"/>
              <a:t>Flows (All Vehicles)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'MCC Data'!$B$7</c:f>
              <c:strCache>
                <c:ptCount val="1"/>
                <c:pt idx="0">
                  <c:v>A to B (Northbound)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Data'!$I$9:$I$56</c:f>
              <c:numCache>
                <c:formatCode>General</c:formatCode>
                <c:ptCount val="48"/>
                <c:pt idx="0">
                  <c:v>25</c:v>
                </c:pt>
                <c:pt idx="1">
                  <c:v>46</c:v>
                </c:pt>
                <c:pt idx="2">
                  <c:v>49</c:v>
                </c:pt>
                <c:pt idx="3">
                  <c:v>52</c:v>
                </c:pt>
                <c:pt idx="4">
                  <c:v>69</c:v>
                </c:pt>
                <c:pt idx="5">
                  <c:v>65</c:v>
                </c:pt>
                <c:pt idx="6">
                  <c:v>62</c:v>
                </c:pt>
                <c:pt idx="7">
                  <c:v>50</c:v>
                </c:pt>
                <c:pt idx="8">
                  <c:v>55</c:v>
                </c:pt>
                <c:pt idx="9">
                  <c:v>44</c:v>
                </c:pt>
                <c:pt idx="10">
                  <c:v>52</c:v>
                </c:pt>
                <c:pt idx="11">
                  <c:v>45</c:v>
                </c:pt>
                <c:pt idx="12">
                  <c:v>36</c:v>
                </c:pt>
                <c:pt idx="13">
                  <c:v>35</c:v>
                </c:pt>
                <c:pt idx="14">
                  <c:v>52</c:v>
                </c:pt>
                <c:pt idx="15">
                  <c:v>38</c:v>
                </c:pt>
                <c:pt idx="16">
                  <c:v>41</c:v>
                </c:pt>
                <c:pt idx="17">
                  <c:v>28</c:v>
                </c:pt>
                <c:pt idx="18">
                  <c:v>47</c:v>
                </c:pt>
                <c:pt idx="19">
                  <c:v>32</c:v>
                </c:pt>
                <c:pt idx="20">
                  <c:v>45</c:v>
                </c:pt>
                <c:pt idx="21">
                  <c:v>44</c:v>
                </c:pt>
                <c:pt idx="22">
                  <c:v>44</c:v>
                </c:pt>
                <c:pt idx="23">
                  <c:v>47</c:v>
                </c:pt>
                <c:pt idx="24">
                  <c:v>36</c:v>
                </c:pt>
                <c:pt idx="25">
                  <c:v>49</c:v>
                </c:pt>
                <c:pt idx="26">
                  <c:v>50</c:v>
                </c:pt>
                <c:pt idx="27">
                  <c:v>48</c:v>
                </c:pt>
                <c:pt idx="28">
                  <c:v>42</c:v>
                </c:pt>
                <c:pt idx="29">
                  <c:v>48</c:v>
                </c:pt>
                <c:pt idx="30">
                  <c:v>49</c:v>
                </c:pt>
                <c:pt idx="31">
                  <c:v>41</c:v>
                </c:pt>
                <c:pt idx="32">
                  <c:v>37</c:v>
                </c:pt>
                <c:pt idx="33">
                  <c:v>42</c:v>
                </c:pt>
                <c:pt idx="34">
                  <c:v>59</c:v>
                </c:pt>
                <c:pt idx="35">
                  <c:v>50</c:v>
                </c:pt>
                <c:pt idx="36">
                  <c:v>41</c:v>
                </c:pt>
                <c:pt idx="37">
                  <c:v>55</c:v>
                </c:pt>
                <c:pt idx="38">
                  <c:v>47</c:v>
                </c:pt>
                <c:pt idx="39">
                  <c:v>39</c:v>
                </c:pt>
                <c:pt idx="40">
                  <c:v>38</c:v>
                </c:pt>
                <c:pt idx="41">
                  <c:v>52</c:v>
                </c:pt>
                <c:pt idx="42">
                  <c:v>43</c:v>
                </c:pt>
                <c:pt idx="43">
                  <c:v>41</c:v>
                </c:pt>
                <c:pt idx="44">
                  <c:v>41</c:v>
                </c:pt>
                <c:pt idx="45">
                  <c:v>45</c:v>
                </c:pt>
                <c:pt idx="46">
                  <c:v>48</c:v>
                </c:pt>
                <c:pt idx="47">
                  <c:v>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'MCC Data'!$J$7</c:f>
              <c:strCache>
                <c:ptCount val="1"/>
                <c:pt idx="0">
                  <c:v>B to A (Southbound)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4BACC6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Data'!$Q$9:$Q$56</c:f>
              <c:numCache>
                <c:formatCode>General</c:formatCode>
                <c:ptCount val="48"/>
                <c:pt idx="0">
                  <c:v>13</c:v>
                </c:pt>
                <c:pt idx="1">
                  <c:v>12</c:v>
                </c:pt>
                <c:pt idx="2">
                  <c:v>22</c:v>
                </c:pt>
                <c:pt idx="3">
                  <c:v>15</c:v>
                </c:pt>
                <c:pt idx="4">
                  <c:v>24</c:v>
                </c:pt>
                <c:pt idx="5">
                  <c:v>30</c:v>
                </c:pt>
                <c:pt idx="6">
                  <c:v>34</c:v>
                </c:pt>
                <c:pt idx="7">
                  <c:v>28</c:v>
                </c:pt>
                <c:pt idx="8">
                  <c:v>45</c:v>
                </c:pt>
                <c:pt idx="9">
                  <c:v>27</c:v>
                </c:pt>
                <c:pt idx="10">
                  <c:v>25</c:v>
                </c:pt>
                <c:pt idx="11">
                  <c:v>32</c:v>
                </c:pt>
                <c:pt idx="12">
                  <c:v>38</c:v>
                </c:pt>
                <c:pt idx="13">
                  <c:v>36</c:v>
                </c:pt>
                <c:pt idx="14">
                  <c:v>28</c:v>
                </c:pt>
                <c:pt idx="15">
                  <c:v>35</c:v>
                </c:pt>
                <c:pt idx="16">
                  <c:v>28</c:v>
                </c:pt>
                <c:pt idx="17">
                  <c:v>40</c:v>
                </c:pt>
                <c:pt idx="18">
                  <c:v>33</c:v>
                </c:pt>
                <c:pt idx="19">
                  <c:v>28</c:v>
                </c:pt>
                <c:pt idx="20">
                  <c:v>35</c:v>
                </c:pt>
                <c:pt idx="21">
                  <c:v>26</c:v>
                </c:pt>
                <c:pt idx="22">
                  <c:v>38</c:v>
                </c:pt>
                <c:pt idx="23">
                  <c:v>28</c:v>
                </c:pt>
                <c:pt idx="24">
                  <c:v>31</c:v>
                </c:pt>
                <c:pt idx="25">
                  <c:v>58</c:v>
                </c:pt>
                <c:pt idx="26">
                  <c:v>47</c:v>
                </c:pt>
                <c:pt idx="27">
                  <c:v>32</c:v>
                </c:pt>
                <c:pt idx="28">
                  <c:v>37</c:v>
                </c:pt>
                <c:pt idx="29">
                  <c:v>35</c:v>
                </c:pt>
                <c:pt idx="30">
                  <c:v>41</c:v>
                </c:pt>
                <c:pt idx="31">
                  <c:v>40</c:v>
                </c:pt>
                <c:pt idx="32">
                  <c:v>42</c:v>
                </c:pt>
                <c:pt idx="33">
                  <c:v>48</c:v>
                </c:pt>
                <c:pt idx="34">
                  <c:v>52</c:v>
                </c:pt>
                <c:pt idx="35">
                  <c:v>58</c:v>
                </c:pt>
                <c:pt idx="36">
                  <c:v>56</c:v>
                </c:pt>
                <c:pt idx="37">
                  <c:v>74</c:v>
                </c:pt>
                <c:pt idx="38">
                  <c:v>68</c:v>
                </c:pt>
                <c:pt idx="39">
                  <c:v>67</c:v>
                </c:pt>
                <c:pt idx="40">
                  <c:v>58</c:v>
                </c:pt>
                <c:pt idx="41">
                  <c:v>72</c:v>
                </c:pt>
                <c:pt idx="42">
                  <c:v>67</c:v>
                </c:pt>
                <c:pt idx="43">
                  <c:v>70</c:v>
                </c:pt>
                <c:pt idx="44">
                  <c:v>68</c:v>
                </c:pt>
                <c:pt idx="45">
                  <c:v>54</c:v>
                </c:pt>
                <c:pt idx="46">
                  <c:v>61</c:v>
                </c:pt>
                <c:pt idx="47">
                  <c:v>58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'MCC Data'!$R$7</c:f>
              <c:strCache>
                <c:ptCount val="1"/>
                <c:pt idx="0">
                  <c:v>Two-way Total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rgbClr val="8064A2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Data'!$Y$9:$Y$56</c:f>
              <c:numCache>
                <c:formatCode>General</c:formatCode>
                <c:ptCount val="48"/>
                <c:pt idx="0">
                  <c:v>38</c:v>
                </c:pt>
                <c:pt idx="1">
                  <c:v>58</c:v>
                </c:pt>
                <c:pt idx="2">
                  <c:v>71</c:v>
                </c:pt>
                <c:pt idx="3">
                  <c:v>67</c:v>
                </c:pt>
                <c:pt idx="4">
                  <c:v>93</c:v>
                </c:pt>
                <c:pt idx="5">
                  <c:v>95</c:v>
                </c:pt>
                <c:pt idx="6">
                  <c:v>96</c:v>
                </c:pt>
                <c:pt idx="7">
                  <c:v>78</c:v>
                </c:pt>
                <c:pt idx="8">
                  <c:v>100</c:v>
                </c:pt>
                <c:pt idx="9">
                  <c:v>71</c:v>
                </c:pt>
                <c:pt idx="10">
                  <c:v>77</c:v>
                </c:pt>
                <c:pt idx="11">
                  <c:v>77</c:v>
                </c:pt>
                <c:pt idx="12">
                  <c:v>74</c:v>
                </c:pt>
                <c:pt idx="13">
                  <c:v>71</c:v>
                </c:pt>
                <c:pt idx="14">
                  <c:v>80</c:v>
                </c:pt>
                <c:pt idx="15">
                  <c:v>73</c:v>
                </c:pt>
                <c:pt idx="16">
                  <c:v>69</c:v>
                </c:pt>
                <c:pt idx="17">
                  <c:v>68</c:v>
                </c:pt>
                <c:pt idx="18">
                  <c:v>80</c:v>
                </c:pt>
                <c:pt idx="19">
                  <c:v>60</c:v>
                </c:pt>
                <c:pt idx="20">
                  <c:v>80</c:v>
                </c:pt>
                <c:pt idx="21">
                  <c:v>70</c:v>
                </c:pt>
                <c:pt idx="22">
                  <c:v>82</c:v>
                </c:pt>
                <c:pt idx="23">
                  <c:v>75</c:v>
                </c:pt>
                <c:pt idx="24">
                  <c:v>67</c:v>
                </c:pt>
                <c:pt idx="25">
                  <c:v>107</c:v>
                </c:pt>
                <c:pt idx="26">
                  <c:v>97</c:v>
                </c:pt>
                <c:pt idx="27">
                  <c:v>80</c:v>
                </c:pt>
                <c:pt idx="28">
                  <c:v>79</c:v>
                </c:pt>
                <c:pt idx="29">
                  <c:v>83</c:v>
                </c:pt>
                <c:pt idx="30">
                  <c:v>90</c:v>
                </c:pt>
                <c:pt idx="31">
                  <c:v>81</c:v>
                </c:pt>
                <c:pt idx="32">
                  <c:v>79</c:v>
                </c:pt>
                <c:pt idx="33">
                  <c:v>90</c:v>
                </c:pt>
                <c:pt idx="34">
                  <c:v>111</c:v>
                </c:pt>
                <c:pt idx="35">
                  <c:v>108</c:v>
                </c:pt>
                <c:pt idx="36">
                  <c:v>97</c:v>
                </c:pt>
                <c:pt idx="37">
                  <c:v>129</c:v>
                </c:pt>
                <c:pt idx="38">
                  <c:v>115</c:v>
                </c:pt>
                <c:pt idx="39">
                  <c:v>106</c:v>
                </c:pt>
                <c:pt idx="40">
                  <c:v>96</c:v>
                </c:pt>
                <c:pt idx="41">
                  <c:v>124</c:v>
                </c:pt>
                <c:pt idx="42">
                  <c:v>110</c:v>
                </c:pt>
                <c:pt idx="43">
                  <c:v>111</c:v>
                </c:pt>
                <c:pt idx="44">
                  <c:v>109</c:v>
                </c:pt>
                <c:pt idx="45">
                  <c:v>99</c:v>
                </c:pt>
                <c:pt idx="46">
                  <c:v>109</c:v>
                </c:pt>
                <c:pt idx="47">
                  <c:v>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698624"/>
        <c:axId val="257703936"/>
      </c:scatterChart>
      <c:valAx>
        <c:axId val="257698624"/>
        <c:scaling>
          <c:orientation val="minMax"/>
          <c:max val="0.79166669999999995"/>
          <c:min val="0.29166670000000006"/>
        </c:scaling>
        <c:delete val="0"/>
        <c:axPos val="b"/>
        <c:majorGridlines/>
        <c:minorGridlines/>
        <c:numFmt formatCode="h:mm" sourceLinked="1"/>
        <c:majorTickMark val="out"/>
        <c:minorTickMark val="none"/>
        <c:tickLblPos val="nextTo"/>
        <c:crossAx val="257703936"/>
        <c:crosses val="autoZero"/>
        <c:crossBetween val="midCat"/>
        <c:majorUnit val="4.1666600000000012E-2"/>
        <c:minorUnit val="2.0833300000000003E-2"/>
      </c:valAx>
      <c:valAx>
        <c:axId val="25770393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69862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6057077389670487E-2"/>
          <c:y val="0.90157684669919813"/>
          <c:w val="0.91134625433324845"/>
          <c:h val="7.3902078531155435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5" Type="http://schemas.openxmlformats.org/officeDocument/2006/relationships/image" Target="../media/image3.emf"/><Relationship Id="rId4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416718</xdr:colOff>
      <xdr:row>0</xdr:row>
      <xdr:rowOff>59532</xdr:rowOff>
    </xdr:from>
    <xdr:to>
      <xdr:col>10</xdr:col>
      <xdr:colOff>599372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77453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59532</xdr:rowOff>
    </xdr:from>
    <xdr:to>
      <xdr:col>6</xdr:col>
      <xdr:colOff>599373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131719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416719</xdr:colOff>
      <xdr:row>0</xdr:row>
      <xdr:rowOff>59531</xdr:rowOff>
    </xdr:from>
    <xdr:to>
      <xdr:col>10</xdr:col>
      <xdr:colOff>599373</xdr:colOff>
      <xdr:row>4</xdr:row>
      <xdr:rowOff>68601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774532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642937</xdr:colOff>
      <xdr:row>0</xdr:row>
      <xdr:rowOff>71435</xdr:rowOff>
    </xdr:from>
    <xdr:to>
      <xdr:col>27</xdr:col>
      <xdr:colOff>682716</xdr:colOff>
      <xdr:row>3</xdr:row>
      <xdr:rowOff>92411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16275843" y="71435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42605</xdr:colOff>
      <xdr:row>12</xdr:row>
      <xdr:rowOff>153240</xdr:rowOff>
    </xdr:from>
    <xdr:to>
      <xdr:col>13</xdr:col>
      <xdr:colOff>321472</xdr:colOff>
      <xdr:row>17</xdr:row>
      <xdr:rowOff>23812</xdr:rowOff>
    </xdr:to>
    <xdr:grpSp>
      <xdr:nvGrpSpPr>
        <xdr:cNvPr id="118" name="Group 117"/>
        <xdr:cNvGrpSpPr/>
      </xdr:nvGrpSpPr>
      <xdr:grpSpPr>
        <a:xfrm>
          <a:off x="6186230" y="2343990"/>
          <a:ext cx="278867" cy="704010"/>
          <a:chOff x="6935390" y="2182813"/>
          <a:chExt cx="202293" cy="655596"/>
        </a:xfrm>
      </xdr:grpSpPr>
      <xdr:cxnSp macro="">
        <xdr:nvCxnSpPr>
          <xdr:cNvPr id="119" name="Straight Arrow Connector 118"/>
          <xdr:cNvCxnSpPr/>
        </xdr:nvCxnSpPr>
        <xdr:spPr>
          <a:xfrm rot="16200000" flipV="1">
            <a:off x="6801446" y="2425899"/>
            <a:ext cx="48617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/>
          <xdr:cNvCxnSpPr/>
        </xdr:nvCxnSpPr>
        <xdr:spPr>
          <a:xfrm>
            <a:off x="6935390" y="2381249"/>
            <a:ext cx="202293" cy="2572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TextBox 121"/>
          <xdr:cNvSpPr txBox="1"/>
        </xdr:nvSpPr>
        <xdr:spPr>
          <a:xfrm>
            <a:off x="6953046" y="2629299"/>
            <a:ext cx="152023" cy="20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1</xdr:col>
      <xdr:colOff>35717</xdr:colOff>
      <xdr:row>59</xdr:row>
      <xdr:rowOff>35718</xdr:rowOff>
    </xdr:from>
    <xdr:to>
      <xdr:col>16</xdr:col>
      <xdr:colOff>476249</xdr:colOff>
      <xdr:row>82</xdr:row>
      <xdr:rowOff>130968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35718</xdr:colOff>
      <xdr:row>0</xdr:row>
      <xdr:rowOff>47626</xdr:rowOff>
    </xdr:from>
    <xdr:to>
      <xdr:col>16</xdr:col>
      <xdr:colOff>480310</xdr:colOff>
      <xdr:row>3</xdr:row>
      <xdr:rowOff>32883</xdr:rowOff>
    </xdr:to>
    <xdr:pic>
      <xdr:nvPicPr>
        <xdr:cNvPr id="22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7203281" y="4762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11906</xdr:colOff>
      <xdr:row>15</xdr:row>
      <xdr:rowOff>0</xdr:rowOff>
    </xdr:from>
    <xdr:to>
      <xdr:col>9</xdr:col>
      <xdr:colOff>11906</xdr:colOff>
      <xdr:row>32</xdr:row>
      <xdr:rowOff>166684</xdr:rowOff>
    </xdr:to>
    <xdr:cxnSp macro="">
      <xdr:nvCxnSpPr>
        <xdr:cNvPr id="24" name="Straight Connector 23"/>
        <xdr:cNvCxnSpPr/>
      </xdr:nvCxnSpPr>
      <xdr:spPr>
        <a:xfrm flipV="1">
          <a:off x="4107656" y="2690813"/>
          <a:ext cx="0" cy="3000371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25</xdr:row>
      <xdr:rowOff>11906</xdr:rowOff>
    </xdr:from>
    <xdr:to>
      <xdr:col>7</xdr:col>
      <xdr:colOff>0</xdr:colOff>
      <xdr:row>32</xdr:row>
      <xdr:rowOff>0</xdr:rowOff>
    </xdr:to>
    <xdr:cxnSp macro="">
      <xdr:nvCxnSpPr>
        <xdr:cNvPr id="25" name="Straight Arrow Connector 24"/>
        <xdr:cNvCxnSpPr/>
      </xdr:nvCxnSpPr>
      <xdr:spPr>
        <a:xfrm flipV="1">
          <a:off x="3071813" y="4369594"/>
          <a:ext cx="0" cy="1154906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11906</xdr:colOff>
      <xdr:row>16</xdr:row>
      <xdr:rowOff>11906</xdr:rowOff>
    </xdr:from>
    <xdr:to>
      <xdr:col>11</xdr:col>
      <xdr:colOff>11907</xdr:colOff>
      <xdr:row>23</xdr:row>
      <xdr:rowOff>0</xdr:rowOff>
    </xdr:to>
    <xdr:cxnSp macro="">
      <xdr:nvCxnSpPr>
        <xdr:cNvPr id="30" name="Straight Arrow Connector 29"/>
        <xdr:cNvCxnSpPr/>
      </xdr:nvCxnSpPr>
      <xdr:spPr>
        <a:xfrm flipH="1">
          <a:off x="5131594" y="2869406"/>
          <a:ext cx="1" cy="1154907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35719</xdr:colOff>
      <xdr:row>38</xdr:row>
      <xdr:rowOff>59531</xdr:rowOff>
    </xdr:from>
    <xdr:to>
      <xdr:col>8</xdr:col>
      <xdr:colOff>476250</xdr:colOff>
      <xdr:row>57</xdr:row>
      <xdr:rowOff>130968</xdr:rowOff>
    </xdr:to>
    <xdr:pic>
      <xdr:nvPicPr>
        <xdr:cNvPr id="20" name="Picture 19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9553" r="44239" b="27666"/>
        <a:stretch/>
      </xdr:blipFill>
      <xdr:spPr>
        <a:xfrm>
          <a:off x="35719" y="6584156"/>
          <a:ext cx="4024312" cy="3238500"/>
        </a:xfrm>
        <a:prstGeom prst="rect">
          <a:avLst/>
        </a:prstGeom>
      </xdr:spPr>
    </xdr:pic>
    <xdr:clientData/>
  </xdr:twoCellAnchor>
  <xdr:twoCellAnchor>
    <xdr:from>
      <xdr:col>6</xdr:col>
      <xdr:colOff>278783</xdr:colOff>
      <xdr:row>51</xdr:row>
      <xdr:rowOff>121341</xdr:rowOff>
    </xdr:from>
    <xdr:to>
      <xdr:col>7</xdr:col>
      <xdr:colOff>219101</xdr:colOff>
      <xdr:row>54</xdr:row>
      <xdr:rowOff>7942</xdr:rowOff>
    </xdr:to>
    <xdr:grpSp>
      <xdr:nvGrpSpPr>
        <xdr:cNvPr id="23" name="Group 22"/>
        <xdr:cNvGrpSpPr/>
      </xdr:nvGrpSpPr>
      <xdr:grpSpPr>
        <a:xfrm rot="11673941">
          <a:off x="2838627" y="8812904"/>
          <a:ext cx="452287" cy="386663"/>
          <a:chOff x="7451148" y="519545"/>
          <a:chExt cx="428625" cy="381000"/>
        </a:xfrm>
      </xdr:grpSpPr>
      <xdr:cxnSp macro="">
        <xdr:nvCxnSpPr>
          <xdr:cNvPr id="26" name="Straight Connector 25"/>
          <xdr:cNvCxnSpPr/>
        </xdr:nvCxnSpPr>
        <xdr:spPr>
          <a:xfrm>
            <a:off x="7451148" y="705716"/>
            <a:ext cx="415636" cy="194829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Connector 26"/>
          <xdr:cNvCxnSpPr/>
        </xdr:nvCxnSpPr>
        <xdr:spPr>
          <a:xfrm flipH="1">
            <a:off x="7451148" y="519545"/>
            <a:ext cx="428625" cy="186172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Arrow Connector 27"/>
          <xdr:cNvCxnSpPr/>
        </xdr:nvCxnSpPr>
        <xdr:spPr>
          <a:xfrm>
            <a:off x="7451148" y="710045"/>
            <a:ext cx="346363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9</xdr:col>
      <xdr:colOff>11906</xdr:colOff>
      <xdr:row>38</xdr:row>
      <xdr:rowOff>11906</xdr:rowOff>
    </xdr:from>
    <xdr:to>
      <xdr:col>16</xdr:col>
      <xdr:colOff>500063</xdr:colOff>
      <xdr:row>57</xdr:row>
      <xdr:rowOff>142585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7656" y="6536531"/>
          <a:ext cx="4071938" cy="3297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238124</xdr:colOff>
      <xdr:row>45</xdr:row>
      <xdr:rowOff>83344</xdr:rowOff>
    </xdr:from>
    <xdr:ext cx="1345406" cy="452438"/>
    <xdr:sp macro="" textlink="$K$14">
      <xdr:nvSpPr>
        <xdr:cNvPr id="32" name="TextBox 31"/>
        <xdr:cNvSpPr txBox="1"/>
      </xdr:nvSpPr>
      <xdr:spPr>
        <a:xfrm>
          <a:off x="6381749" y="7774782"/>
          <a:ext cx="1345406" cy="452438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D0CB0FDD-C2E3-44E2-AAF6-399E2F5AE06E}" type="TxLink">
            <a:rPr lang="en-US" sz="1000" b="0" i="0" u="none" strike="noStrike">
              <a:solidFill>
                <a:srgbClr val="000000"/>
              </a:solidFill>
              <a:latin typeface="Tahomai"/>
              <a:ea typeface="Tahoma"/>
              <a:cs typeface="Tahoma" pitchFamily="34" charset="0"/>
            </a:rPr>
            <a:pPr algn="ctr"/>
            <a:t>Arm B - Robertson Road (N)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9</xdr:col>
      <xdr:colOff>452437</xdr:colOff>
      <xdr:row>54</xdr:row>
      <xdr:rowOff>83343</xdr:rowOff>
    </xdr:from>
    <xdr:ext cx="1440656" cy="416717"/>
    <xdr:sp macro="" textlink="$G$33">
      <xdr:nvSpPr>
        <xdr:cNvPr id="38" name="TextBox 37"/>
        <xdr:cNvSpPr txBox="1"/>
      </xdr:nvSpPr>
      <xdr:spPr>
        <a:xfrm>
          <a:off x="4548187" y="9274968"/>
          <a:ext cx="1440656" cy="41671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645F614C-26C0-4AE6-AEF5-18B48F98F2D5}" type="TxLink">
            <a:rPr lang="en-US" sz="1000" b="0" i="0" u="none" strike="noStrike">
              <a:solidFill>
                <a:srgbClr val="000000"/>
              </a:solidFill>
              <a:latin typeface="Tahomai"/>
              <a:ea typeface="Tahoma"/>
              <a:cs typeface="Tahoma" pitchFamily="34" charset="0"/>
            </a:rPr>
            <a:pPr algn="ctr"/>
            <a:t>Arm A - Robertson Road (S)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425823</xdr:colOff>
      <xdr:row>0</xdr:row>
      <xdr:rowOff>48986</xdr:rowOff>
    </xdr:from>
    <xdr:to>
      <xdr:col>24</xdr:col>
      <xdr:colOff>608477</xdr:colOff>
      <xdr:row>3</xdr:row>
      <xdr:rowOff>34243</xdr:rowOff>
    </xdr:to>
    <xdr:pic>
      <xdr:nvPicPr>
        <xdr:cNvPr id="1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14737136" y="4898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309638</xdr:colOff>
      <xdr:row>0</xdr:row>
      <xdr:rowOff>59532</xdr:rowOff>
    </xdr:from>
    <xdr:to>
      <xdr:col>11</xdr:col>
      <xdr:colOff>563730</xdr:colOff>
      <xdr:row>3</xdr:row>
      <xdr:rowOff>80508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42945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440530</xdr:colOff>
      <xdr:row>0</xdr:row>
      <xdr:rowOff>59531</xdr:rowOff>
    </xdr:from>
    <xdr:to>
      <xdr:col>18</xdr:col>
      <xdr:colOff>623184</xdr:colOff>
      <xdr:row>3</xdr:row>
      <xdr:rowOff>44788</xdr:rowOff>
    </xdr:to>
    <xdr:pic>
      <xdr:nvPicPr>
        <xdr:cNvPr id="2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10691811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tabSelected="1"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30" x14ac:dyDescent="0.2">
      <c r="A29" s="250" t="s">
        <v>7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30" x14ac:dyDescent="0.2">
      <c r="A30" s="251" t="str">
        <f>'Internal Control-Check Sheet'!L6</f>
        <v>Easton Safer Streets</v>
      </c>
      <c r="B30" s="251"/>
      <c r="C30" s="251"/>
      <c r="D30" s="251"/>
      <c r="E30" s="251"/>
      <c r="F30" s="251"/>
      <c r="G30" s="251"/>
      <c r="H30" s="251"/>
      <c r="I30" s="251"/>
      <c r="J30" s="251"/>
      <c r="K30" s="251"/>
    </row>
    <row r="58" spans="1:3" x14ac:dyDescent="0.2">
      <c r="C58" s="17"/>
    </row>
    <row r="59" spans="1:3" x14ac:dyDescent="0.2">
      <c r="C59" s="17"/>
    </row>
    <row r="60" spans="1:3" x14ac:dyDescent="0.2">
      <c r="C60" s="17"/>
    </row>
    <row r="61" spans="1:3" x14ac:dyDescent="0.2">
      <c r="A61" s="9" t="s">
        <v>36</v>
      </c>
      <c r="C61" s="232" t="str">
        <f>'Internal Control-Check Sheet'!G3</f>
        <v>Bristol City Council</v>
      </c>
    </row>
    <row r="62" spans="1:3" x14ac:dyDescent="0.2">
      <c r="A62" s="9" t="s">
        <v>15</v>
      </c>
      <c r="C62" s="232" t="str">
        <f>'Internal Control-Check Sheet'!G4</f>
        <v>ID02343</v>
      </c>
    </row>
    <row r="63" spans="1:3" x14ac:dyDescent="0.2">
      <c r="A63" s="9" t="s">
        <v>146</v>
      </c>
      <c r="C63" s="232" t="str">
        <f>'Internal Control-Check Sheet'!G5</f>
        <v>ANPR Site 18</v>
      </c>
    </row>
    <row r="64" spans="1:3" x14ac:dyDescent="0.2">
      <c r="A64" s="9" t="s">
        <v>20</v>
      </c>
      <c r="C64" s="233" t="str">
        <f>'Internal Control-Check Sheet'!L3</f>
        <v>09.07.2015</v>
      </c>
    </row>
    <row r="65" spans="1:8" x14ac:dyDescent="0.2">
      <c r="A65" s="9" t="s">
        <v>147</v>
      </c>
      <c r="C65" s="233" t="str">
        <f>'Internal Control-Check Sheet'!L4</f>
        <v>Robertson Road</v>
      </c>
      <c r="D65" s="27"/>
      <c r="E65" s="27"/>
      <c r="F65" s="27"/>
      <c r="G65" s="27"/>
      <c r="H65" s="27"/>
    </row>
    <row r="66" spans="1:8" x14ac:dyDescent="0.2">
      <c r="A66" s="9" t="s">
        <v>148</v>
      </c>
      <c r="C66" s="233" t="str">
        <f>'Internal Control-Check Sheet'!L5</f>
        <v>Two-way Link Count</v>
      </c>
      <c r="D66" s="20"/>
      <c r="E66" s="8"/>
      <c r="F66" s="8"/>
      <c r="G66" s="8"/>
      <c r="H66" s="8"/>
    </row>
    <row r="67" spans="1:8" x14ac:dyDescent="0.2">
      <c r="A67" s="9"/>
      <c r="C67" s="17"/>
      <c r="D67" s="20"/>
    </row>
    <row r="68" spans="1:8" x14ac:dyDescent="0.2">
      <c r="A68" s="9"/>
      <c r="C68" s="17"/>
      <c r="D68" s="28"/>
    </row>
    <row r="69" spans="1:8" x14ac:dyDescent="0.2">
      <c r="C69" s="17"/>
      <c r="D69" s="10"/>
    </row>
    <row r="70" spans="1:8" x14ac:dyDescent="0.2">
      <c r="D70" s="10"/>
    </row>
  </sheetData>
  <sheetProtection password="C0E4" sheet="1" objects="1" scenarios="1"/>
  <mergeCells count="2">
    <mergeCell ref="A29:K29"/>
    <mergeCell ref="A30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100" zoomScaleSheetLayoutView="80" workbookViewId="0"/>
  </sheetViews>
  <sheetFormatPr defaultRowHeight="12.75" x14ac:dyDescent="0.2"/>
  <cols>
    <col min="1" max="1" width="9.7109375" customWidth="1"/>
    <col min="2" max="2" width="20.42578125" style="10" customWidth="1"/>
    <col min="3" max="3" width="20" style="10" customWidth="1"/>
    <col min="4" max="6" width="18.7109375" style="10" customWidth="1"/>
    <col min="7" max="7" width="9.7109375" customWidth="1"/>
  </cols>
  <sheetData>
    <row r="1" spans="1:7" x14ac:dyDescent="0.2">
      <c r="B1" s="9"/>
      <c r="C1" s="9"/>
      <c r="D1" s="9"/>
      <c r="E1" s="9"/>
      <c r="F1" s="9"/>
      <c r="G1" s="8"/>
    </row>
    <row r="2" spans="1:7" ht="12.75" customHeight="1" x14ac:dyDescent="0.4">
      <c r="A2" s="13"/>
      <c r="B2" s="9"/>
      <c r="C2" s="9"/>
      <c r="D2" s="9"/>
      <c r="E2" s="9"/>
      <c r="F2" s="9"/>
      <c r="G2" s="8"/>
    </row>
    <row r="5" spans="1:7" s="10" customFormat="1" x14ac:dyDescent="0.2"/>
    <row r="6" spans="1:7" s="10" customFormat="1" x14ac:dyDescent="0.2"/>
    <row r="7" spans="1:7" s="10" customFormat="1" x14ac:dyDescent="0.2"/>
    <row r="8" spans="1:7" s="10" customFormat="1" x14ac:dyDescent="0.2"/>
    <row r="9" spans="1:7" s="10" customFormat="1" x14ac:dyDescent="0.2">
      <c r="A9" s="9"/>
      <c r="B9" s="33"/>
      <c r="G9"/>
    </row>
    <row r="10" spans="1:7" s="10" customFormat="1" x14ac:dyDescent="0.2">
      <c r="A10" s="11"/>
      <c r="B10" s="11"/>
      <c r="C10" s="11"/>
      <c r="D10" s="11"/>
      <c r="E10" s="11"/>
      <c r="F10" s="11"/>
      <c r="G10" s="11"/>
    </row>
    <row r="23" spans="1:7" ht="30" customHeight="1" x14ac:dyDescent="0.2">
      <c r="B23" s="250" t="s">
        <v>23</v>
      </c>
      <c r="C23" s="250"/>
      <c r="D23" s="250"/>
      <c r="E23" s="250"/>
      <c r="F23" s="250"/>
      <c r="G23" s="29"/>
    </row>
    <row r="24" spans="1:7" ht="12.75" customHeight="1" x14ac:dyDescent="0.2">
      <c r="A24" s="29"/>
      <c r="B24" s="29"/>
      <c r="C24" s="29"/>
      <c r="D24" s="29"/>
      <c r="E24" s="29"/>
      <c r="F24" s="29"/>
      <c r="G24" s="29"/>
    </row>
    <row r="30" spans="1:7" ht="18" x14ac:dyDescent="0.25">
      <c r="B30" s="35" t="s">
        <v>24</v>
      </c>
    </row>
    <row r="31" spans="1:7" ht="13.5" thickBot="1" x14ac:dyDescent="0.25"/>
    <row r="32" spans="1:7" ht="15" customHeight="1" thickTop="1" x14ac:dyDescent="0.2">
      <c r="B32" s="36" t="s">
        <v>25</v>
      </c>
      <c r="C32" s="66" t="s">
        <v>26</v>
      </c>
      <c r="D32" s="37"/>
      <c r="E32" s="37"/>
      <c r="F32" s="38"/>
    </row>
    <row r="33" spans="2:6" ht="15" customHeight="1" x14ac:dyDescent="0.2">
      <c r="B33" s="39" t="s">
        <v>1</v>
      </c>
      <c r="C33" s="79" t="s">
        <v>184</v>
      </c>
      <c r="D33" s="40"/>
      <c r="E33" s="40"/>
      <c r="F33" s="41"/>
    </row>
    <row r="34" spans="2:6" ht="15" customHeight="1" x14ac:dyDescent="0.2">
      <c r="B34" s="39" t="s">
        <v>27</v>
      </c>
      <c r="C34" s="80" t="s">
        <v>175</v>
      </c>
      <c r="D34" s="40"/>
      <c r="E34" s="40"/>
      <c r="F34" s="41"/>
    </row>
    <row r="35" spans="2:6" ht="15" customHeight="1" x14ac:dyDescent="0.2">
      <c r="B35" s="39" t="s">
        <v>28</v>
      </c>
      <c r="C35" s="80"/>
      <c r="D35" s="40"/>
      <c r="E35" s="40"/>
      <c r="F35" s="41"/>
    </row>
    <row r="36" spans="2:6" ht="15" customHeight="1" x14ac:dyDescent="0.2">
      <c r="B36" s="39" t="s">
        <v>22</v>
      </c>
      <c r="C36" s="80" t="s">
        <v>172</v>
      </c>
      <c r="D36" s="40"/>
      <c r="E36" s="40"/>
      <c r="F36" s="41"/>
    </row>
    <row r="37" spans="2:6" ht="15" customHeight="1" x14ac:dyDescent="0.2">
      <c r="B37" s="39" t="s">
        <v>28</v>
      </c>
      <c r="C37" s="80"/>
      <c r="D37" s="40"/>
      <c r="E37" s="40"/>
      <c r="F37" s="41"/>
    </row>
    <row r="38" spans="2:6" ht="15" customHeight="1" x14ac:dyDescent="0.2">
      <c r="B38" s="39" t="s">
        <v>35</v>
      </c>
      <c r="C38" s="80" t="s">
        <v>173</v>
      </c>
      <c r="D38" s="40"/>
      <c r="E38" s="40"/>
      <c r="F38" s="41"/>
    </row>
    <row r="39" spans="2:6" ht="15" customHeight="1" x14ac:dyDescent="0.2">
      <c r="B39" s="39" t="s">
        <v>28</v>
      </c>
      <c r="C39" s="80"/>
      <c r="D39" s="40"/>
      <c r="E39" s="40"/>
      <c r="F39" s="41"/>
    </row>
    <row r="40" spans="2:6" ht="15" customHeight="1" x14ac:dyDescent="0.2">
      <c r="B40" s="39"/>
      <c r="C40" s="80"/>
      <c r="D40" s="40"/>
      <c r="E40" s="40"/>
      <c r="F40" s="41"/>
    </row>
    <row r="41" spans="2:6" ht="15" customHeight="1" x14ac:dyDescent="0.2">
      <c r="B41" s="39" t="s">
        <v>29</v>
      </c>
      <c r="C41" s="80" t="str">
        <f>'Internal Control-Check Sheet'!G4</f>
        <v>ID02343</v>
      </c>
      <c r="D41" s="40"/>
      <c r="E41" s="40"/>
      <c r="F41" s="41"/>
    </row>
    <row r="42" spans="2:6" s="92" customFormat="1" ht="43.5" customHeight="1" thickBot="1" x14ac:dyDescent="0.25">
      <c r="B42" s="89" t="s">
        <v>30</v>
      </c>
      <c r="C42" s="83" t="s">
        <v>180</v>
      </c>
      <c r="D42" s="90"/>
      <c r="E42" s="90"/>
      <c r="F42" s="91"/>
    </row>
    <row r="43" spans="2:6" ht="13.5" thickTop="1" x14ac:dyDescent="0.2"/>
    <row r="45" spans="2:6" ht="18" x14ac:dyDescent="0.25">
      <c r="B45" s="35" t="s">
        <v>31</v>
      </c>
    </row>
    <row r="46" spans="2:6" ht="13.5" thickBot="1" x14ac:dyDescent="0.25"/>
    <row r="47" spans="2:6" ht="13.5" thickTop="1" x14ac:dyDescent="0.2">
      <c r="B47" s="252" t="s">
        <v>32</v>
      </c>
      <c r="C47" s="254" t="s">
        <v>1</v>
      </c>
      <c r="D47" s="254"/>
      <c r="E47" s="254"/>
      <c r="F47" s="255"/>
    </row>
    <row r="48" spans="2:6" ht="13.5" thickBot="1" x14ac:dyDescent="0.25">
      <c r="B48" s="253"/>
      <c r="C48" s="81" t="s">
        <v>183</v>
      </c>
      <c r="D48" s="68"/>
      <c r="E48" s="68"/>
      <c r="F48" s="69"/>
    </row>
    <row r="49" spans="2:6" ht="13.5" thickTop="1" x14ac:dyDescent="0.2">
      <c r="B49" s="70"/>
      <c r="C49" s="71"/>
      <c r="D49" s="71"/>
      <c r="E49" s="71"/>
      <c r="F49" s="72"/>
    </row>
    <row r="50" spans="2:6" x14ac:dyDescent="0.2">
      <c r="B50" s="82" t="s">
        <v>174</v>
      </c>
      <c r="C50" s="67" t="s">
        <v>134</v>
      </c>
      <c r="D50" s="73"/>
      <c r="E50" s="74"/>
      <c r="F50" s="75"/>
    </row>
    <row r="51" spans="2:6" x14ac:dyDescent="0.2">
      <c r="B51" s="42"/>
      <c r="C51" s="43"/>
      <c r="D51" s="43"/>
      <c r="E51" s="43"/>
      <c r="F51" s="44"/>
    </row>
    <row r="52" spans="2:6" x14ac:dyDescent="0.2">
      <c r="B52" s="42"/>
      <c r="C52" s="43"/>
      <c r="D52" s="43"/>
      <c r="E52" s="43"/>
      <c r="F52" s="44"/>
    </row>
    <row r="53" spans="2:6" x14ac:dyDescent="0.2">
      <c r="B53" s="42"/>
      <c r="C53" s="43"/>
      <c r="D53" s="43"/>
      <c r="E53" s="43"/>
      <c r="F53" s="44"/>
    </row>
    <row r="54" spans="2:6" x14ac:dyDescent="0.2">
      <c r="B54" s="42"/>
      <c r="C54" s="43"/>
      <c r="D54" s="43"/>
      <c r="E54" s="43"/>
      <c r="F54" s="44"/>
    </row>
    <row r="55" spans="2:6" x14ac:dyDescent="0.2">
      <c r="B55" s="42"/>
      <c r="C55" s="43"/>
      <c r="D55" s="43"/>
      <c r="E55" s="43"/>
      <c r="F55" s="44"/>
    </row>
    <row r="56" spans="2:6" x14ac:dyDescent="0.2">
      <c r="B56" s="42"/>
      <c r="C56" s="43"/>
      <c r="D56" s="43"/>
      <c r="E56" s="43"/>
      <c r="F56" s="44"/>
    </row>
    <row r="57" spans="2:6" x14ac:dyDescent="0.2">
      <c r="B57" s="42"/>
      <c r="C57" s="43"/>
      <c r="D57" s="43"/>
      <c r="E57" s="43"/>
      <c r="F57" s="44"/>
    </row>
    <row r="58" spans="2:6" x14ac:dyDescent="0.2">
      <c r="B58" s="42"/>
      <c r="C58" s="43"/>
      <c r="D58" s="43"/>
      <c r="E58" s="43"/>
      <c r="F58" s="44"/>
    </row>
    <row r="59" spans="2:6" x14ac:dyDescent="0.2">
      <c r="B59" s="42"/>
      <c r="C59" s="43"/>
      <c r="D59" s="43"/>
      <c r="E59" s="43"/>
      <c r="F59" s="44"/>
    </row>
    <row r="60" spans="2:6" x14ac:dyDescent="0.2">
      <c r="B60" s="42"/>
      <c r="C60" s="43"/>
      <c r="D60" s="43"/>
      <c r="E60" s="43"/>
      <c r="F60" s="44"/>
    </row>
    <row r="61" spans="2:6" x14ac:dyDescent="0.2">
      <c r="B61" s="42"/>
      <c r="C61" s="43"/>
      <c r="D61" s="43"/>
      <c r="E61" s="43"/>
      <c r="F61" s="44"/>
    </row>
    <row r="62" spans="2:6" x14ac:dyDescent="0.2">
      <c r="B62" s="42"/>
      <c r="C62" s="43"/>
      <c r="D62" s="43"/>
      <c r="E62" s="43"/>
      <c r="F62" s="44"/>
    </row>
    <row r="63" spans="2:6" ht="13.5" thickBot="1" x14ac:dyDescent="0.25">
      <c r="B63" s="45"/>
      <c r="C63" s="46"/>
      <c r="D63" s="46"/>
      <c r="E63" s="46"/>
      <c r="F63" s="47"/>
    </row>
    <row r="64" spans="2:6" ht="13.5" thickTop="1" x14ac:dyDescent="0.2"/>
    <row r="65" spans="1:7" x14ac:dyDescent="0.2">
      <c r="A65" s="9"/>
      <c r="B65" s="33"/>
      <c r="C65" s="33"/>
      <c r="D65" s="33"/>
      <c r="E65" s="33"/>
      <c r="F65" s="33"/>
      <c r="G65" s="27"/>
    </row>
    <row r="66" spans="1:7" x14ac:dyDescent="0.2">
      <c r="A66" s="9"/>
      <c r="B66" s="20"/>
      <c r="C66" s="20"/>
      <c r="D66" s="9"/>
      <c r="E66" s="9"/>
      <c r="F66" s="9"/>
      <c r="G66" s="8"/>
    </row>
    <row r="67" spans="1:7" x14ac:dyDescent="0.2">
      <c r="A67" s="9"/>
      <c r="B67" s="20"/>
      <c r="C67" s="20"/>
    </row>
    <row r="68" spans="1:7" x14ac:dyDescent="0.2">
      <c r="A68" s="9"/>
      <c r="B68" s="34"/>
      <c r="C68" s="34"/>
    </row>
    <row r="69" spans="1:7" x14ac:dyDescent="0.2">
      <c r="A69" s="9"/>
      <c r="B69" s="33"/>
    </row>
    <row r="70" spans="1:7" x14ac:dyDescent="0.2">
      <c r="A70" s="9"/>
      <c r="B70" s="33"/>
    </row>
  </sheetData>
  <sheetProtection selectLockedCells="1"/>
  <mergeCells count="3">
    <mergeCell ref="B23:F23"/>
    <mergeCell ref="B47:B48"/>
    <mergeCell ref="C47:F4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6" orientation="portrait" r:id="rId1"/>
  <headerFooter>
    <oddFooter>&amp;L&amp;"Tahoma,Bold"www.intelligent-data-collection.com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22.5" customHeight="1" x14ac:dyDescent="0.2">
      <c r="A29" s="250" t="s">
        <v>33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22.5" customHeight="1" x14ac:dyDescent="0.2">
      <c r="A30" s="250"/>
      <c r="B30" s="250"/>
      <c r="C30" s="250"/>
      <c r="D30" s="250"/>
      <c r="E30" s="250"/>
      <c r="F30" s="250"/>
      <c r="G30" s="250"/>
      <c r="H30" s="250"/>
      <c r="I30" s="250"/>
      <c r="J30" s="250"/>
      <c r="K30" s="250"/>
    </row>
    <row r="33" spans="3:3" ht="15" x14ac:dyDescent="0.2">
      <c r="C33" s="76" t="s">
        <v>40</v>
      </c>
    </row>
    <row r="34" spans="3:3" ht="15" x14ac:dyDescent="0.2">
      <c r="C34" s="76" t="s">
        <v>76</v>
      </c>
    </row>
    <row r="35" spans="3:3" ht="15" x14ac:dyDescent="0.2">
      <c r="C35" s="76" t="s">
        <v>77</v>
      </c>
    </row>
    <row r="36" spans="3:3" ht="15" x14ac:dyDescent="0.2">
      <c r="C36" s="76" t="s">
        <v>78</v>
      </c>
    </row>
    <row r="37" spans="3:3" ht="12.75" customHeight="1" x14ac:dyDescent="0.2">
      <c r="C37" s="76"/>
    </row>
    <row r="38" spans="3:3" ht="12.75" customHeight="1" x14ac:dyDescent="0.2">
      <c r="C38" s="76"/>
    </row>
    <row r="39" spans="3:3" ht="12.75" customHeight="1" x14ac:dyDescent="0.2">
      <c r="C39" s="76"/>
    </row>
    <row r="40" spans="3:3" ht="12.75" customHeight="1" x14ac:dyDescent="0.2">
      <c r="C40" s="30"/>
    </row>
    <row r="41" spans="3:3" ht="12.75" customHeight="1" x14ac:dyDescent="0.2">
      <c r="C41" s="30"/>
    </row>
    <row r="42" spans="3:3" ht="12.75" customHeight="1" x14ac:dyDescent="0.2">
      <c r="C42" s="30"/>
    </row>
    <row r="43" spans="3:3" ht="12.75" customHeight="1" x14ac:dyDescent="0.2">
      <c r="C43" s="30"/>
    </row>
    <row r="44" spans="3:3" ht="12.75" customHeight="1" x14ac:dyDescent="0.2">
      <c r="C44" s="30"/>
    </row>
    <row r="45" spans="3:3" ht="12.75" customHeight="1" x14ac:dyDescent="0.2">
      <c r="C45" s="30"/>
    </row>
    <row r="46" spans="3:3" ht="12.75" customHeight="1" x14ac:dyDescent="0.2">
      <c r="C46" s="30"/>
    </row>
    <row r="47" spans="3:3" ht="12.75" customHeight="1" x14ac:dyDescent="0.2"/>
    <row r="48" spans="3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4" ht="12.75" customHeight="1" x14ac:dyDescent="0.2"/>
    <row r="66" spans="1:4" ht="12.75" customHeight="1" x14ac:dyDescent="0.2"/>
    <row r="67" spans="1:4" ht="12.75" customHeight="1" x14ac:dyDescent="0.2"/>
    <row r="68" spans="1:4" ht="12.75" customHeight="1" x14ac:dyDescent="0.2"/>
    <row r="69" spans="1:4" ht="12.75" customHeight="1" x14ac:dyDescent="0.2">
      <c r="A69" s="9"/>
      <c r="C69" s="27"/>
      <c r="D69" s="10"/>
    </row>
    <row r="70" spans="1:4" ht="12.75" customHeight="1" x14ac:dyDescent="0.2">
      <c r="A70" s="9"/>
      <c r="C70" s="27"/>
      <c r="D70" s="10"/>
    </row>
  </sheetData>
  <sheetProtection selectLockedCells="1"/>
  <mergeCells count="1">
    <mergeCell ref="A29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149"/>
  <sheetViews>
    <sheetView view="pageBreakPreview" topLeftCell="E1" zoomScale="80" zoomScaleNormal="80" zoomScaleSheetLayoutView="80" workbookViewId="0">
      <selection activeCell="E1" sqref="E1"/>
    </sheetView>
  </sheetViews>
  <sheetFormatPr defaultRowHeight="12.75" x14ac:dyDescent="0.2"/>
  <cols>
    <col min="1" max="1" width="10.140625" style="10" hidden="1" customWidth="1"/>
    <col min="2" max="2" width="11.5703125" style="10" hidden="1" customWidth="1"/>
    <col min="3" max="3" width="18.7109375" style="10" hidden="1" customWidth="1"/>
    <col min="4" max="4" width="14.28515625" style="10" hidden="1" customWidth="1"/>
    <col min="5" max="5" width="11" style="10" customWidth="1"/>
    <col min="6" max="28" width="10.7109375" style="10" customWidth="1"/>
    <col min="29" max="16384" width="9.140625" style="10"/>
  </cols>
  <sheetData>
    <row r="1" spans="5:29" ht="25.5" x14ac:dyDescent="0.2">
      <c r="E1" s="48" t="s">
        <v>7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5:29" ht="13.5" customHeight="1" x14ac:dyDescent="0.2">
      <c r="E2" s="50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297" t="s">
        <v>124</v>
      </c>
      <c r="S2" s="298"/>
      <c r="T2" s="298"/>
      <c r="U2" s="298"/>
      <c r="V2" s="298"/>
      <c r="W2" s="298"/>
      <c r="X2" s="221"/>
      <c r="Z2" s="51"/>
      <c r="AA2" s="51"/>
      <c r="AB2" s="51"/>
      <c r="AC2" s="51"/>
    </row>
    <row r="3" spans="5:29" ht="13.5" customHeight="1" x14ac:dyDescent="0.2">
      <c r="E3" s="125" t="s">
        <v>36</v>
      </c>
      <c r="F3" s="14"/>
      <c r="G3" s="228" t="s">
        <v>165</v>
      </c>
      <c r="H3" s="228"/>
      <c r="I3" s="51"/>
      <c r="J3" s="125" t="s">
        <v>20</v>
      </c>
      <c r="K3" s="51"/>
      <c r="L3" s="229" t="s">
        <v>168</v>
      </c>
      <c r="M3" s="228"/>
      <c r="N3" s="3"/>
      <c r="O3" s="51"/>
      <c r="P3" s="51"/>
      <c r="Q3" s="51"/>
      <c r="R3" s="299"/>
      <c r="S3" s="300"/>
      <c r="T3" s="300"/>
      <c r="U3" s="300"/>
      <c r="V3" s="300"/>
      <c r="W3" s="300"/>
      <c r="X3" s="222"/>
      <c r="Z3" s="3"/>
      <c r="AA3" s="51"/>
      <c r="AB3" s="51"/>
      <c r="AC3" s="51"/>
    </row>
    <row r="4" spans="5:29" ht="13.5" customHeight="1" x14ac:dyDescent="0.2">
      <c r="E4" s="125" t="s">
        <v>15</v>
      </c>
      <c r="F4" s="14"/>
      <c r="G4" s="228" t="s">
        <v>166</v>
      </c>
      <c r="H4" s="51"/>
      <c r="I4" s="51"/>
      <c r="J4" s="125" t="s">
        <v>147</v>
      </c>
      <c r="K4" s="51"/>
      <c r="L4" s="229" t="s">
        <v>176</v>
      </c>
      <c r="M4" s="228"/>
      <c r="N4" s="230"/>
      <c r="O4" s="228"/>
      <c r="P4" s="51"/>
      <c r="Q4" s="126"/>
      <c r="R4" s="282" t="s">
        <v>122</v>
      </c>
      <c r="S4" s="283"/>
      <c r="T4" s="283"/>
      <c r="U4" s="283"/>
      <c r="V4" s="283"/>
      <c r="W4" s="284"/>
      <c r="X4" s="206" t="s">
        <v>123</v>
      </c>
      <c r="Z4" s="3"/>
      <c r="AA4" s="51"/>
      <c r="AB4" s="51"/>
      <c r="AC4" s="51"/>
    </row>
    <row r="5" spans="5:29" ht="13.5" customHeight="1" x14ac:dyDescent="0.2">
      <c r="E5" s="125" t="s">
        <v>146</v>
      </c>
      <c r="F5" s="14"/>
      <c r="G5" s="228" t="s">
        <v>182</v>
      </c>
      <c r="H5" s="51"/>
      <c r="I5" s="51"/>
      <c r="J5" s="125" t="s">
        <v>148</v>
      </c>
      <c r="K5" s="51"/>
      <c r="L5" s="236" t="s">
        <v>145</v>
      </c>
      <c r="M5" s="228"/>
      <c r="N5" s="3"/>
      <c r="O5" s="51"/>
      <c r="P5" s="51"/>
      <c r="Q5" s="126"/>
      <c r="R5" s="279" t="s">
        <v>140</v>
      </c>
      <c r="S5" s="280"/>
      <c r="T5" s="280"/>
      <c r="U5" s="280"/>
      <c r="V5" s="280"/>
      <c r="W5" s="281"/>
      <c r="X5" s="223"/>
      <c r="Z5" s="3"/>
      <c r="AA5" s="51"/>
      <c r="AB5" s="51"/>
      <c r="AC5" s="51"/>
    </row>
    <row r="6" spans="5:29" ht="13.5" customHeight="1" x14ac:dyDescent="0.2">
      <c r="J6" s="9" t="s">
        <v>142</v>
      </c>
      <c r="L6" s="231" t="s">
        <v>169</v>
      </c>
      <c r="M6" s="231"/>
      <c r="R6" s="301" t="s">
        <v>141</v>
      </c>
      <c r="S6" s="302"/>
      <c r="T6" s="302"/>
      <c r="U6" s="302"/>
      <c r="V6" s="302"/>
      <c r="W6" s="303"/>
      <c r="X6" s="224" t="s">
        <v>179</v>
      </c>
    </row>
    <row r="7" spans="5:29" ht="12.75" customHeight="1" x14ac:dyDescent="0.2">
      <c r="E7" s="9" t="s">
        <v>51</v>
      </c>
      <c r="R7" s="258" t="s">
        <v>160</v>
      </c>
      <c r="S7" s="259"/>
      <c r="T7" s="259"/>
      <c r="U7" s="259"/>
      <c r="V7" s="259"/>
      <c r="W7" s="260"/>
      <c r="X7" s="240" t="s">
        <v>179</v>
      </c>
    </row>
    <row r="8" spans="5:29" ht="12.75" customHeight="1" x14ac:dyDescent="0.2">
      <c r="J8" s="234" t="s">
        <v>144</v>
      </c>
      <c r="K8" s="234"/>
      <c r="L8" s="234"/>
      <c r="M8" s="234"/>
      <c r="R8" s="261" t="s">
        <v>152</v>
      </c>
      <c r="S8" s="262"/>
      <c r="T8" s="262"/>
      <c r="U8" s="262"/>
      <c r="V8" s="262"/>
      <c r="W8" s="263"/>
      <c r="X8" s="264" t="s">
        <v>179</v>
      </c>
    </row>
    <row r="9" spans="5:29" ht="12.75" customHeight="1" x14ac:dyDescent="0.2">
      <c r="E9" s="10" t="s">
        <v>47</v>
      </c>
      <c r="F9" s="272" t="s">
        <v>177</v>
      </c>
      <c r="G9" s="272"/>
      <c r="R9" s="258"/>
      <c r="S9" s="259"/>
      <c r="T9" s="259"/>
      <c r="U9" s="259"/>
      <c r="V9" s="259"/>
      <c r="W9" s="260"/>
      <c r="X9" s="266"/>
    </row>
    <row r="10" spans="5:29" x14ac:dyDescent="0.2">
      <c r="E10" s="10" t="s">
        <v>50</v>
      </c>
      <c r="F10" s="272" t="s">
        <v>178</v>
      </c>
      <c r="G10" s="272"/>
      <c r="R10" s="276" t="s">
        <v>153</v>
      </c>
      <c r="S10" s="277"/>
      <c r="T10" s="277"/>
      <c r="U10" s="277"/>
      <c r="V10" s="277"/>
      <c r="W10" s="278"/>
      <c r="X10" s="264" t="s">
        <v>179</v>
      </c>
    </row>
    <row r="11" spans="5:29" ht="12.75" customHeight="1" x14ac:dyDescent="0.2">
      <c r="R11" s="279"/>
      <c r="S11" s="280"/>
      <c r="T11" s="280"/>
      <c r="U11" s="280"/>
      <c r="V11" s="280"/>
      <c r="W11" s="281"/>
      <c r="X11" s="266"/>
    </row>
    <row r="12" spans="5:29" x14ac:dyDescent="0.2">
      <c r="E12" s="9" t="s">
        <v>110</v>
      </c>
      <c r="R12" s="276" t="s">
        <v>154</v>
      </c>
      <c r="S12" s="277"/>
      <c r="T12" s="277"/>
      <c r="U12" s="277"/>
      <c r="V12" s="277"/>
      <c r="W12" s="278"/>
      <c r="X12" s="264" t="s">
        <v>179</v>
      </c>
    </row>
    <row r="13" spans="5:29" ht="12.75" customHeight="1" x14ac:dyDescent="0.2">
      <c r="R13" s="279"/>
      <c r="S13" s="280"/>
      <c r="T13" s="280"/>
      <c r="U13" s="280"/>
      <c r="V13" s="280"/>
      <c r="W13" s="281"/>
      <c r="X13" s="266"/>
    </row>
    <row r="14" spans="5:29" ht="12.75" customHeight="1" x14ac:dyDescent="0.2">
      <c r="E14" s="10" t="s">
        <v>113</v>
      </c>
      <c r="F14" s="194">
        <v>51.469710999999997</v>
      </c>
      <c r="R14" s="273" t="s">
        <v>155</v>
      </c>
      <c r="S14" s="274"/>
      <c r="T14" s="274"/>
      <c r="U14" s="274"/>
      <c r="V14" s="274"/>
      <c r="W14" s="275"/>
      <c r="X14" s="264" t="s">
        <v>179</v>
      </c>
    </row>
    <row r="15" spans="5:29" ht="12.75" customHeight="1" x14ac:dyDescent="0.2">
      <c r="E15" s="10" t="s">
        <v>114</v>
      </c>
      <c r="F15" s="194">
        <v>-2.5634579999999998</v>
      </c>
      <c r="R15" s="273"/>
      <c r="S15" s="274"/>
      <c r="T15" s="274"/>
      <c r="U15" s="274"/>
      <c r="V15" s="274"/>
      <c r="W15" s="275"/>
      <c r="X15" s="265"/>
    </row>
    <row r="16" spans="5:29" ht="12.75" customHeight="1" x14ac:dyDescent="0.2">
      <c r="R16" s="258"/>
      <c r="S16" s="259"/>
      <c r="T16" s="259"/>
      <c r="U16" s="259"/>
      <c r="V16" s="259"/>
      <c r="W16" s="260"/>
      <c r="X16" s="266"/>
    </row>
    <row r="17" spans="4:24" x14ac:dyDescent="0.2">
      <c r="E17" s="9" t="s">
        <v>79</v>
      </c>
      <c r="R17" s="273" t="s">
        <v>156</v>
      </c>
      <c r="S17" s="274"/>
      <c r="T17" s="274"/>
      <c r="U17" s="274"/>
      <c r="V17" s="274"/>
      <c r="W17" s="275"/>
      <c r="X17" s="264" t="s">
        <v>179</v>
      </c>
    </row>
    <row r="18" spans="4:24" ht="12.75" customHeight="1" x14ac:dyDescent="0.2">
      <c r="E18" s="9"/>
      <c r="R18" s="273"/>
      <c r="S18" s="274"/>
      <c r="T18" s="274"/>
      <c r="U18" s="274"/>
      <c r="V18" s="274"/>
      <c r="W18" s="275"/>
      <c r="X18" s="265"/>
    </row>
    <row r="19" spans="4:24" ht="12.75" customHeight="1" x14ac:dyDescent="0.2">
      <c r="E19" s="10" t="s">
        <v>80</v>
      </c>
      <c r="F19" s="272" t="s">
        <v>167</v>
      </c>
      <c r="G19" s="272"/>
      <c r="R19" s="258"/>
      <c r="S19" s="259"/>
      <c r="T19" s="259"/>
      <c r="U19" s="259"/>
      <c r="V19" s="259"/>
      <c r="W19" s="260"/>
      <c r="X19" s="266"/>
    </row>
    <row r="20" spans="4:24" ht="12.75" customHeight="1" x14ac:dyDescent="0.2">
      <c r="E20" s="10" t="s">
        <v>103</v>
      </c>
      <c r="F20" s="272" t="s">
        <v>167</v>
      </c>
      <c r="G20" s="272"/>
      <c r="R20" s="267" t="s">
        <v>157</v>
      </c>
      <c r="S20" s="268"/>
      <c r="T20" s="268"/>
      <c r="U20" s="268"/>
      <c r="V20" s="268"/>
      <c r="W20" s="269"/>
      <c r="X20" s="225" t="s">
        <v>179</v>
      </c>
    </row>
    <row r="21" spans="4:24" ht="12.75" customHeight="1" x14ac:dyDescent="0.2">
      <c r="E21" s="10" t="s">
        <v>81</v>
      </c>
      <c r="F21" s="272" t="s">
        <v>167</v>
      </c>
      <c r="G21" s="272"/>
      <c r="R21" s="270"/>
      <c r="S21" s="271"/>
      <c r="T21" s="271"/>
      <c r="U21" s="271"/>
      <c r="V21" s="271"/>
      <c r="W21" s="271"/>
      <c r="X21" s="205"/>
    </row>
    <row r="22" spans="4:24" x14ac:dyDescent="0.2">
      <c r="R22" s="256" t="s">
        <v>127</v>
      </c>
      <c r="S22" s="257"/>
      <c r="T22" s="257"/>
      <c r="U22" s="257"/>
      <c r="V22" s="257"/>
      <c r="W22" s="257"/>
      <c r="X22" s="205"/>
    </row>
    <row r="23" spans="4:24" x14ac:dyDescent="0.2">
      <c r="E23" s="9" t="s">
        <v>52</v>
      </c>
      <c r="R23" s="270"/>
      <c r="S23" s="271"/>
      <c r="T23" s="271"/>
      <c r="U23" s="271"/>
      <c r="V23" s="271"/>
      <c r="W23" s="271"/>
      <c r="X23" s="205"/>
    </row>
    <row r="24" spans="4:24" ht="12.75" customHeight="1" x14ac:dyDescent="0.2">
      <c r="E24" s="11"/>
      <c r="F24" s="132"/>
      <c r="G24" s="132"/>
      <c r="H24" s="132"/>
      <c r="I24" s="288" t="s">
        <v>119</v>
      </c>
      <c r="J24" s="288"/>
      <c r="M24" s="287" t="s">
        <v>58</v>
      </c>
      <c r="N24" s="287"/>
      <c r="O24" s="287"/>
      <c r="P24" s="128"/>
      <c r="R24" s="282" t="s">
        <v>122</v>
      </c>
      <c r="S24" s="283"/>
      <c r="T24" s="283"/>
      <c r="U24" s="283"/>
      <c r="V24" s="283"/>
      <c r="W24" s="284"/>
      <c r="X24" s="206" t="s">
        <v>123</v>
      </c>
    </row>
    <row r="25" spans="4:24" x14ac:dyDescent="0.2">
      <c r="E25" s="131"/>
      <c r="F25" s="130" t="s">
        <v>53</v>
      </c>
      <c r="G25" s="130" t="s">
        <v>54</v>
      </c>
      <c r="H25" s="130" t="s">
        <v>121</v>
      </c>
      <c r="I25" s="130" t="s">
        <v>57</v>
      </c>
      <c r="J25" s="196" t="s">
        <v>118</v>
      </c>
      <c r="L25" s="131"/>
      <c r="M25" s="130" t="s">
        <v>55</v>
      </c>
      <c r="N25" s="130" t="s">
        <v>56</v>
      </c>
      <c r="O25" s="130" t="s">
        <v>57</v>
      </c>
      <c r="P25" s="196" t="s">
        <v>118</v>
      </c>
      <c r="R25" s="279" t="s">
        <v>136</v>
      </c>
      <c r="S25" s="280"/>
      <c r="T25" s="280"/>
      <c r="U25" s="280"/>
      <c r="V25" s="280"/>
      <c r="W25" s="281"/>
      <c r="X25" s="226" t="s">
        <v>181</v>
      </c>
    </row>
    <row r="26" spans="4:24" ht="12.75" customHeight="1" x14ac:dyDescent="0.2">
      <c r="E26" s="146" t="s">
        <v>120</v>
      </c>
      <c r="F26" s="149">
        <v>0.29166666666666669</v>
      </c>
      <c r="G26" s="149">
        <v>0.79166666666666663</v>
      </c>
      <c r="H26" s="149">
        <v>1.0416666666666666E-2</v>
      </c>
      <c r="I26" s="149">
        <v>4.1666666666666664E-2</v>
      </c>
      <c r="J26" s="149">
        <v>2.0833333333333332E-2</v>
      </c>
      <c r="L26" s="146" t="s">
        <v>82</v>
      </c>
      <c r="M26" s="133">
        <f>F26</f>
        <v>0.29166666666666669</v>
      </c>
      <c r="N26" s="133">
        <f>G26</f>
        <v>0.79166666666666663</v>
      </c>
      <c r="O26" s="133">
        <f>I26</f>
        <v>4.1666666666666664E-2</v>
      </c>
      <c r="P26" s="133">
        <f>J26</f>
        <v>2.0833333333333332E-2</v>
      </c>
      <c r="R26" s="276" t="s">
        <v>128</v>
      </c>
      <c r="S26" s="277"/>
      <c r="T26" s="277"/>
      <c r="U26" s="277"/>
      <c r="V26" s="277"/>
      <c r="W26" s="278"/>
      <c r="X26" s="293" t="s">
        <v>181</v>
      </c>
    </row>
    <row r="27" spans="4:24" ht="12.75" customHeight="1" x14ac:dyDescent="0.2">
      <c r="L27" s="132"/>
      <c r="M27" s="133"/>
      <c r="N27" s="133"/>
      <c r="O27" s="133"/>
      <c r="P27" s="133"/>
      <c r="R27" s="279"/>
      <c r="S27" s="280"/>
      <c r="T27" s="280"/>
      <c r="U27" s="280"/>
      <c r="V27" s="280"/>
      <c r="W27" s="281"/>
      <c r="X27" s="294"/>
    </row>
    <row r="28" spans="4:24" x14ac:dyDescent="0.2">
      <c r="D28" s="129">
        <v>3.472222222222222E-3</v>
      </c>
      <c r="R28" s="289" t="s">
        <v>129</v>
      </c>
      <c r="S28" s="290"/>
      <c r="T28" s="290"/>
      <c r="U28" s="290"/>
      <c r="V28" s="290"/>
      <c r="W28" s="291"/>
      <c r="X28" s="220" t="s">
        <v>181</v>
      </c>
    </row>
    <row r="29" spans="4:24" ht="12.75" customHeight="1" x14ac:dyDescent="0.2">
      <c r="D29" s="129">
        <v>1.0416666666666666E-2</v>
      </c>
      <c r="E29" s="9" t="s">
        <v>150</v>
      </c>
      <c r="P29" s="9"/>
    </row>
    <row r="30" spans="4:24" x14ac:dyDescent="0.2">
      <c r="D30" s="129">
        <v>2.0833333333333332E-2</v>
      </c>
      <c r="F30" s="295" t="s">
        <v>90</v>
      </c>
      <c r="G30" s="295"/>
      <c r="H30" s="295"/>
      <c r="L30" s="295" t="s">
        <v>91</v>
      </c>
      <c r="M30" s="295"/>
      <c r="N30" s="295"/>
    </row>
    <row r="31" spans="4:24" x14ac:dyDescent="0.2">
      <c r="D31" s="129">
        <v>4.1666666666666664E-2</v>
      </c>
      <c r="F31" s="128" t="s">
        <v>45</v>
      </c>
      <c r="G31" s="128" t="s">
        <v>46</v>
      </c>
      <c r="H31" s="128" t="s">
        <v>8</v>
      </c>
      <c r="L31" s="235" t="s">
        <v>45</v>
      </c>
      <c r="M31" s="235" t="s">
        <v>46</v>
      </c>
      <c r="N31" s="235" t="s">
        <v>8</v>
      </c>
    </row>
    <row r="32" spans="4:24" x14ac:dyDescent="0.2">
      <c r="D32" s="129">
        <v>8.3333333333333329E-2</v>
      </c>
      <c r="E32" s="197" t="s">
        <v>125</v>
      </c>
      <c r="F32" s="128">
        <f>SUM('MCC Data'!B9:H56)</f>
        <v>2177</v>
      </c>
      <c r="G32" s="128">
        <f>SUM('MCC Data'!J8:P56)</f>
        <v>1994</v>
      </c>
      <c r="H32" s="128">
        <f>SUM('MCC Data'!R9:X56)</f>
        <v>4171</v>
      </c>
      <c r="I32" s="156" t="str">
        <f>IF(H32-SUM(F32:G32)=0,"CORRECT","ERROR")</f>
        <v>CORRECT</v>
      </c>
      <c r="K32" s="235" t="s">
        <v>125</v>
      </c>
      <c r="L32" s="235">
        <f>SUM('MCC Data'!B58:H102)</f>
        <v>8252</v>
      </c>
      <c r="M32" s="235">
        <f>SUM('MCC Data'!J58:P102)</f>
        <v>7541</v>
      </c>
      <c r="N32" s="235">
        <f>SUM('MCC Data'!R58:X102)</f>
        <v>15793</v>
      </c>
      <c r="O32" s="156" t="str">
        <f>IF(N32-SUM(L32:M32)=0,"CORRECT","ERROR")</f>
        <v>CORRECT</v>
      </c>
      <c r="S32" s="9" t="s">
        <v>143</v>
      </c>
    </row>
    <row r="33" spans="1:26" x14ac:dyDescent="0.2">
      <c r="E33" s="197" t="s">
        <v>135</v>
      </c>
      <c r="F33" s="235">
        <f>SUM('MCC Data'!I9:I56)</f>
        <v>2177</v>
      </c>
      <c r="G33" s="235">
        <f>SUM('MCC Data'!Q8:Q56)</f>
        <v>1994</v>
      </c>
      <c r="H33" s="235">
        <f>SUM('MCC Data'!Y9:Y56)</f>
        <v>4171</v>
      </c>
      <c r="I33" s="156" t="str">
        <f>IF(H33-SUM(F33:G33)=0,"CORRECT","ERROR")</f>
        <v>CORRECT</v>
      </c>
      <c r="K33" s="235" t="s">
        <v>135</v>
      </c>
      <c r="L33" s="235">
        <f>SUM('MCC Data'!I58:I102)</f>
        <v>8252</v>
      </c>
      <c r="M33" s="235">
        <f>SUM('MCC Data'!Q58:Q102)</f>
        <v>7541</v>
      </c>
      <c r="N33" s="235">
        <f>SUM('MCC Data'!Y58:Y102)</f>
        <v>15793</v>
      </c>
      <c r="O33" s="156" t="str">
        <f>IF(N33-SUM(L33:M33)=0,"CORRECT","ERROR")</f>
        <v>CORRECT</v>
      </c>
    </row>
    <row r="34" spans="1:26" x14ac:dyDescent="0.2">
      <c r="F34" s="156" t="str">
        <f>IF(F33-F32=0,"CORRECT","ERROR")</f>
        <v>CORRECT</v>
      </c>
      <c r="G34" s="156" t="str">
        <f t="shared" ref="G34:H34" si="0">IF(G33-G32=0,"CORRECT","ERROR")</f>
        <v>CORRECT</v>
      </c>
      <c r="H34" s="156" t="str">
        <f t="shared" si="0"/>
        <v>CORRECT</v>
      </c>
      <c r="L34" s="156" t="str">
        <f>IF(L33-L32=0,"CORRECT","ERROR")</f>
        <v>CORRECT</v>
      </c>
      <c r="M34" s="156" t="str">
        <f t="shared" ref="M34:N34" si="1">IF(M33-M32=0,"CORRECT","ERROR")</f>
        <v>CORRECT</v>
      </c>
      <c r="N34" s="156" t="str">
        <f t="shared" si="1"/>
        <v>CORRECT</v>
      </c>
      <c r="S34" s="285" t="str">
        <f>IF(D42="","NO DUPLICATES","DUPLICATE TOTALS")</f>
        <v>NO DUPLICATES</v>
      </c>
      <c r="T34" s="285"/>
      <c r="V34" s="292" t="str">
        <f>IF(D43="","",CONCATENATE("CHECK MOVEMENTS ",D43))</f>
        <v/>
      </c>
      <c r="W34" s="292"/>
      <c r="X34" s="292"/>
      <c r="Y34" s="292"/>
      <c r="Z34" s="292"/>
    </row>
    <row r="36" spans="1:26" x14ac:dyDescent="0.2">
      <c r="E36" s="9" t="s">
        <v>59</v>
      </c>
    </row>
    <row r="37" spans="1:26" x14ac:dyDescent="0.2">
      <c r="G37" s="16" t="s">
        <v>17</v>
      </c>
      <c r="H37" s="16" t="s">
        <v>12</v>
      </c>
      <c r="I37" s="16" t="s">
        <v>10</v>
      </c>
      <c r="J37" s="16" t="s">
        <v>11</v>
      </c>
      <c r="K37" s="16" t="s">
        <v>18</v>
      </c>
      <c r="L37" s="16" t="s">
        <v>9</v>
      </c>
      <c r="M37" s="16" t="s">
        <v>34</v>
      </c>
    </row>
    <row r="38" spans="1:26" ht="12.75" customHeight="1" x14ac:dyDescent="0.2">
      <c r="F38" s="10" t="s">
        <v>60</v>
      </c>
      <c r="G38" s="134">
        <v>1</v>
      </c>
      <c r="H38" s="134">
        <v>1</v>
      </c>
      <c r="I38" s="134">
        <v>1.9</v>
      </c>
      <c r="J38" s="134">
        <v>2.9</v>
      </c>
      <c r="K38" s="134">
        <v>2.5</v>
      </c>
      <c r="L38" s="134">
        <v>0.4</v>
      </c>
      <c r="M38" s="135">
        <v>0.2</v>
      </c>
    </row>
    <row r="39" spans="1:26" x14ac:dyDescent="0.2">
      <c r="A39" s="227" t="s">
        <v>126</v>
      </c>
      <c r="B39" s="227" t="s">
        <v>137</v>
      </c>
      <c r="C39" s="227" t="s">
        <v>138</v>
      </c>
      <c r="D39" s="227" t="s">
        <v>139</v>
      </c>
      <c r="F39" s="10" t="s">
        <v>61</v>
      </c>
      <c r="G39" s="134">
        <v>1</v>
      </c>
      <c r="H39" s="134">
        <v>1</v>
      </c>
      <c r="I39" s="134">
        <v>1.5</v>
      </c>
      <c r="J39" s="134">
        <v>2.2999999999999998</v>
      </c>
      <c r="K39" s="134">
        <v>2</v>
      </c>
      <c r="L39" s="134">
        <v>0.4</v>
      </c>
      <c r="M39" s="135">
        <v>0.2</v>
      </c>
    </row>
    <row r="40" spans="1:26" x14ac:dyDescent="0.2">
      <c r="A40" s="132" t="s">
        <v>45</v>
      </c>
      <c r="B40" s="227">
        <f>F33</f>
        <v>2177</v>
      </c>
      <c r="C40" s="227" t="str">
        <f>IF(COUNTIF($B$40:$B$41,IF(B40&gt;0,B40,"Zero"))&gt;1,"Duplicate Total","No")</f>
        <v>No</v>
      </c>
      <c r="D40" s="227" t="str">
        <f>IF(C40="No","",A40&amp;", ")</f>
        <v/>
      </c>
      <c r="E40" s="202"/>
      <c r="F40" s="202" t="s">
        <v>62</v>
      </c>
      <c r="G40" s="203">
        <v>1</v>
      </c>
      <c r="H40" s="203">
        <v>1</v>
      </c>
      <c r="I40" s="203">
        <v>1</v>
      </c>
      <c r="J40" s="203">
        <v>1</v>
      </c>
      <c r="K40" s="203">
        <v>1</v>
      </c>
      <c r="L40" s="203">
        <v>1</v>
      </c>
      <c r="M40" s="203">
        <v>1</v>
      </c>
    </row>
    <row r="41" spans="1:26" x14ac:dyDescent="0.2">
      <c r="A41" s="132" t="s">
        <v>46</v>
      </c>
      <c r="B41" s="227">
        <f>G33</f>
        <v>1994</v>
      </c>
      <c r="C41" s="227" t="str">
        <f>IF(COUNTIF($B$40:$B$41,IF(B41&gt;0,B41,"Zero"))&gt;1,"Duplicate Total","No")</f>
        <v>No</v>
      </c>
      <c r="D41" s="227" t="str">
        <f t="shared" ref="D41" si="2">IF(C41="No","",A41&amp;", ")</f>
        <v/>
      </c>
      <c r="E41" s="197" t="s">
        <v>109</v>
      </c>
      <c r="F41" s="10" t="str">
        <f>'PCU Data'!P10</f>
        <v>WebTag</v>
      </c>
      <c r="G41" s="137">
        <f>VLOOKUP($F41,$F$38:$M$40,2,FALSE)</f>
        <v>1</v>
      </c>
      <c r="H41" s="137">
        <f>VLOOKUP($F41,$F$38:$M$40,3,FALSE)</f>
        <v>1</v>
      </c>
      <c r="I41" s="137">
        <f>VLOOKUP($F41,$F$38:$M$40,4,FALSE)</f>
        <v>1.9</v>
      </c>
      <c r="J41" s="137">
        <f>VLOOKUP($F41,$F$38:$M$40,5,FALSE)</f>
        <v>2.9</v>
      </c>
      <c r="K41" s="137">
        <f>VLOOKUP($F41,$F$38:$M$40,6,FALSE)</f>
        <v>2.5</v>
      </c>
      <c r="L41" s="137">
        <f>VLOOKUP($F41,$F$38:$M$40,7,FALSE)</f>
        <v>0.4</v>
      </c>
      <c r="M41" s="137">
        <f>VLOOKUP($F41,$F$38:$M$40,8,FALSE)</f>
        <v>0.2</v>
      </c>
    </row>
    <row r="42" spans="1:26" ht="12.75" customHeight="1" x14ac:dyDescent="0.2">
      <c r="D42" s="227" t="str">
        <f>CONCATENATE(D40,D41)</f>
        <v/>
      </c>
    </row>
    <row r="43" spans="1:26" x14ac:dyDescent="0.2">
      <c r="D43" s="227" t="str">
        <f>IFERROR(LEFT(D42,(LEN(D42)-2)),"")</f>
        <v/>
      </c>
      <c r="E43" s="9" t="s">
        <v>105</v>
      </c>
    </row>
    <row r="44" spans="1:26" x14ac:dyDescent="0.2">
      <c r="N44" s="197" t="s">
        <v>101</v>
      </c>
    </row>
    <row r="45" spans="1:26" x14ac:dyDescent="0.2">
      <c r="F45" s="204">
        <f>'Movement Matrices'!D16</f>
        <v>0.29166666666666669</v>
      </c>
      <c r="G45" s="162" t="str">
        <f>'Movement Matrices'!D8</f>
        <v>Vehicles</v>
      </c>
      <c r="H45" s="129" t="str">
        <f>'Movement Matrices'!G8</f>
        <v>All Classes</v>
      </c>
      <c r="K45" s="10" t="str">
        <f>CONCATENATE(G45,H45)</f>
        <v>VehiclesAll Classes</v>
      </c>
      <c r="N45" s="197">
        <f>IF(K45="VehiclesAll Classes",1,IF(K45="VehiclesExcluding P/Cs",2,IF(K45="VehiclesExcluding M/Cs and P/Cs",3,IF(K45="PCUsAll Classes",4,IF(K45="PCUsExcluding P/Cs",5,IF(K45="PCUsExcluding M/Cs and P/Cs",6,"ERROR"))))))</f>
        <v>1</v>
      </c>
    </row>
    <row r="47" spans="1:26" x14ac:dyDescent="0.2">
      <c r="F47" s="33" t="s">
        <v>68</v>
      </c>
      <c r="L47" s="10" t="s">
        <v>70</v>
      </c>
      <c r="R47" s="10" t="s">
        <v>71</v>
      </c>
    </row>
    <row r="48" spans="1:26" x14ac:dyDescent="0.2">
      <c r="E48" s="241"/>
      <c r="F48" s="142"/>
      <c r="G48" s="143" t="s">
        <v>64</v>
      </c>
      <c r="H48" s="242" t="s">
        <v>65</v>
      </c>
      <c r="I48" s="130" t="s">
        <v>8</v>
      </c>
      <c r="K48" s="241"/>
      <c r="L48" s="142"/>
      <c r="M48" s="143" t="s">
        <v>64</v>
      </c>
      <c r="N48" s="242" t="s">
        <v>65</v>
      </c>
      <c r="O48" s="130" t="s">
        <v>8</v>
      </c>
      <c r="R48" s="142"/>
      <c r="S48" s="143" t="s">
        <v>64</v>
      </c>
      <c r="T48" s="242" t="s">
        <v>65</v>
      </c>
      <c r="U48" s="130" t="s">
        <v>8</v>
      </c>
    </row>
    <row r="49" spans="5:22" ht="12.75" customHeight="1" x14ac:dyDescent="0.2">
      <c r="E49" s="296" t="s">
        <v>66</v>
      </c>
      <c r="F49" s="141" t="s">
        <v>64</v>
      </c>
      <c r="G49" s="153">
        <v>0</v>
      </c>
      <c r="H49" s="146">
        <f>VLOOKUP($F$45,'MCC Data'!$A$9:$Y$56,9,FALSE)</f>
        <v>25</v>
      </c>
      <c r="I49" s="140">
        <f>SUM(G49:H49)</f>
        <v>25</v>
      </c>
      <c r="K49" s="296" t="s">
        <v>66</v>
      </c>
      <c r="L49" s="141" t="s">
        <v>64</v>
      </c>
      <c r="M49" s="237">
        <v>0</v>
      </c>
      <c r="N49" s="146">
        <f>VLOOKUP($F$45,'MCC Data'!$A$9:$Y$56,8,FALSE)</f>
        <v>2</v>
      </c>
      <c r="O49" s="140">
        <f>SUM(M49:N49)</f>
        <v>2</v>
      </c>
      <c r="Q49" s="296" t="s">
        <v>66</v>
      </c>
      <c r="R49" s="141" t="s">
        <v>64</v>
      </c>
      <c r="S49" s="237">
        <v>0</v>
      </c>
      <c r="T49" s="146">
        <f>VLOOKUP($F$45,'MCC Data'!$A$9:$Y$56,7,FALSE)</f>
        <v>0</v>
      </c>
      <c r="U49" s="140">
        <f>SUM(S49:T49)</f>
        <v>0</v>
      </c>
    </row>
    <row r="50" spans="5:22" x14ac:dyDescent="0.2">
      <c r="E50" s="296"/>
      <c r="F50" s="242" t="s">
        <v>65</v>
      </c>
      <c r="G50" s="238">
        <f>VLOOKUP($F$45,'MCC Data'!$A$9:$Y$56,17,FALSE)</f>
        <v>13</v>
      </c>
      <c r="H50" s="239">
        <v>0</v>
      </c>
      <c r="I50" s="243">
        <f>SUM(G50:H50)</f>
        <v>13</v>
      </c>
      <c r="K50" s="296"/>
      <c r="L50" s="242" t="s">
        <v>65</v>
      </c>
      <c r="M50" s="238">
        <f>VLOOKUP($F$45,'MCC Data'!$A$9:$Y$56,16,FALSE)</f>
        <v>2</v>
      </c>
      <c r="N50" s="239">
        <v>0</v>
      </c>
      <c r="O50" s="243">
        <f>SUM(M50:N50)</f>
        <v>2</v>
      </c>
      <c r="Q50" s="296"/>
      <c r="R50" s="242" t="s">
        <v>65</v>
      </c>
      <c r="S50" s="238">
        <f>VLOOKUP($F$45,'MCC Data'!$A$9:$Y$56,15,FALSE)</f>
        <v>0</v>
      </c>
      <c r="T50" s="239">
        <v>0</v>
      </c>
      <c r="U50" s="243">
        <f>SUM(S50:T50)</f>
        <v>0</v>
      </c>
    </row>
    <row r="51" spans="5:22" x14ac:dyDescent="0.2">
      <c r="E51" s="241"/>
      <c r="F51" s="146" t="s">
        <v>8</v>
      </c>
      <c r="G51" s="132">
        <f>SUM(G49:G50)</f>
        <v>13</v>
      </c>
      <c r="H51" s="146">
        <f>SUM(H49:H50)</f>
        <v>25</v>
      </c>
      <c r="I51" s="132">
        <f>SUM(G51:H51)</f>
        <v>38</v>
      </c>
      <c r="J51" s="132"/>
      <c r="K51" s="241"/>
      <c r="L51" s="146" t="s">
        <v>8</v>
      </c>
      <c r="M51" s="132">
        <f>SUM(M49:M50)</f>
        <v>2</v>
      </c>
      <c r="N51" s="146">
        <f>SUM(N49:N50)</f>
        <v>2</v>
      </c>
      <c r="O51" s="147">
        <f>SUM(M51:N51)</f>
        <v>4</v>
      </c>
      <c r="P51" s="132"/>
      <c r="R51" s="146" t="s">
        <v>8</v>
      </c>
      <c r="S51" s="132">
        <f>SUM(S49:S50)</f>
        <v>0</v>
      </c>
      <c r="T51" s="146">
        <f>SUM(T49:T50)</f>
        <v>0</v>
      </c>
      <c r="U51" s="147">
        <f>SUM(S51:T51)</f>
        <v>0</v>
      </c>
    </row>
    <row r="52" spans="5:22" x14ac:dyDescent="0.2">
      <c r="E52" s="241"/>
      <c r="J52" s="157">
        <f>VLOOKUP($F$45,'MCC Data'!$A$9:$Y$56,25,FALSE)</f>
        <v>38</v>
      </c>
      <c r="K52" s="241"/>
      <c r="O52" s="132"/>
      <c r="P52" s="157">
        <f>VLOOKUP($F$45,'MCC Data'!$A$9:$Y$56,24,FALSE)</f>
        <v>4</v>
      </c>
      <c r="U52" s="132"/>
      <c r="V52" s="157">
        <f>VLOOKUP($F$45,'MCC Data'!$A$9:$Y$56,23,FALSE)</f>
        <v>0</v>
      </c>
    </row>
    <row r="53" spans="5:22" x14ac:dyDescent="0.2">
      <c r="E53" s="241"/>
      <c r="F53" s="33" t="s">
        <v>69</v>
      </c>
      <c r="K53" s="241"/>
      <c r="L53" s="10" t="s">
        <v>73</v>
      </c>
      <c r="R53" s="10" t="s">
        <v>74</v>
      </c>
    </row>
    <row r="54" spans="5:22" x14ac:dyDescent="0.2">
      <c r="E54" s="241"/>
      <c r="F54" s="142"/>
      <c r="G54" s="143" t="s">
        <v>64</v>
      </c>
      <c r="H54" s="242" t="s">
        <v>65</v>
      </c>
      <c r="I54" s="130" t="s">
        <v>8</v>
      </c>
      <c r="K54" s="241"/>
      <c r="L54" s="142"/>
      <c r="M54" s="143" t="s">
        <v>64</v>
      </c>
      <c r="N54" s="242" t="s">
        <v>65</v>
      </c>
      <c r="O54" s="130" t="s">
        <v>8</v>
      </c>
      <c r="P54" s="132"/>
      <c r="R54" s="142"/>
      <c r="S54" s="143" t="s">
        <v>64</v>
      </c>
      <c r="T54" s="242" t="s">
        <v>65</v>
      </c>
      <c r="U54" s="130" t="s">
        <v>8</v>
      </c>
    </row>
    <row r="55" spans="5:22" x14ac:dyDescent="0.2">
      <c r="E55" s="296" t="s">
        <v>66</v>
      </c>
      <c r="F55" s="141" t="s">
        <v>64</v>
      </c>
      <c r="G55" s="237">
        <v>0</v>
      </c>
      <c r="H55" s="244">
        <f>VLOOKUP($F$45,'PCU Data'!$A$11:$C$58,2,FALSE)</f>
        <v>25.2</v>
      </c>
      <c r="I55" s="140">
        <f>SUM(G55:H55)</f>
        <v>25.2</v>
      </c>
      <c r="K55" s="296" t="s">
        <v>66</v>
      </c>
      <c r="L55" s="141" t="s">
        <v>64</v>
      </c>
      <c r="M55" s="237">
        <v>0</v>
      </c>
      <c r="N55" s="244">
        <f>N49*'PCU Data'!$T$14</f>
        <v>0.4</v>
      </c>
      <c r="O55" s="140">
        <f>SUM(M55:N55)</f>
        <v>0.4</v>
      </c>
      <c r="P55" s="140"/>
      <c r="Q55" s="296" t="s">
        <v>66</v>
      </c>
      <c r="R55" s="141" t="s">
        <v>64</v>
      </c>
      <c r="S55" s="237">
        <v>0</v>
      </c>
      <c r="T55" s="244">
        <f>T49*'PCU Data'!$S$14</f>
        <v>0</v>
      </c>
      <c r="U55" s="140">
        <f>SUM(S55:T55)</f>
        <v>0</v>
      </c>
      <c r="V55" s="132"/>
    </row>
    <row r="56" spans="5:22" x14ac:dyDescent="0.2">
      <c r="E56" s="296"/>
      <c r="F56" s="242" t="s">
        <v>65</v>
      </c>
      <c r="G56" s="243">
        <f>VLOOKUP($F$45,'PCU Data'!$A$11:$C$58,3,FALSE)</f>
        <v>11.4</v>
      </c>
      <c r="H56" s="239">
        <v>0</v>
      </c>
      <c r="I56" s="243">
        <f>SUM(G56:H56)</f>
        <v>11.4</v>
      </c>
      <c r="K56" s="296"/>
      <c r="L56" s="242" t="s">
        <v>65</v>
      </c>
      <c r="M56" s="243">
        <f>M50*'PCU Data'!$T$14</f>
        <v>0.4</v>
      </c>
      <c r="N56" s="239">
        <v>0</v>
      </c>
      <c r="O56" s="243">
        <f>SUM(M56:N56)</f>
        <v>0.4</v>
      </c>
      <c r="P56" s="140"/>
      <c r="Q56" s="296"/>
      <c r="R56" s="242" t="s">
        <v>65</v>
      </c>
      <c r="S56" s="243">
        <f>S50*'PCU Data'!$S$14</f>
        <v>0</v>
      </c>
      <c r="T56" s="239">
        <v>0</v>
      </c>
      <c r="U56" s="243">
        <f>SUM(S56:T56)</f>
        <v>0</v>
      </c>
    </row>
    <row r="57" spans="5:22" ht="12.75" customHeight="1" x14ac:dyDescent="0.2">
      <c r="E57" s="241"/>
      <c r="F57" s="146" t="s">
        <v>8</v>
      </c>
      <c r="G57" s="147">
        <f>SUM(G55:G56)</f>
        <v>11.4</v>
      </c>
      <c r="H57" s="244">
        <f>SUM(H55:H56)</f>
        <v>25.2</v>
      </c>
      <c r="I57" s="147">
        <f>SUM(G57:H57)</f>
        <v>36.6</v>
      </c>
      <c r="K57" s="241"/>
      <c r="L57" s="146" t="s">
        <v>8</v>
      </c>
      <c r="M57" s="147">
        <f>SUM(M55:M56)</f>
        <v>0.4</v>
      </c>
      <c r="N57" s="244">
        <f>SUM(N55:N56)</f>
        <v>0.4</v>
      </c>
      <c r="O57" s="147">
        <f>SUM(M57:N57)</f>
        <v>0.8</v>
      </c>
      <c r="P57" s="132"/>
      <c r="R57" s="146" t="s">
        <v>8</v>
      </c>
      <c r="S57" s="147">
        <f>SUM(S55:S56)</f>
        <v>0</v>
      </c>
      <c r="T57" s="244">
        <f>SUM(T55:T56)</f>
        <v>0</v>
      </c>
      <c r="U57" s="147">
        <f>SUM(S57:T57)</f>
        <v>0</v>
      </c>
    </row>
    <row r="58" spans="5:22" x14ac:dyDescent="0.2">
      <c r="E58" s="241"/>
      <c r="K58" s="241"/>
    </row>
    <row r="59" spans="5:22" ht="12.75" customHeight="1" x14ac:dyDescent="0.2">
      <c r="E59" s="241"/>
      <c r="F59" s="33" t="s">
        <v>72</v>
      </c>
      <c r="K59" s="241"/>
      <c r="L59" s="33" t="s">
        <v>75</v>
      </c>
    </row>
    <row r="60" spans="5:22" x14ac:dyDescent="0.2">
      <c r="E60" s="241"/>
      <c r="F60" s="142"/>
      <c r="G60" s="143" t="s">
        <v>64</v>
      </c>
      <c r="H60" s="242" t="s">
        <v>65</v>
      </c>
      <c r="I60" s="130" t="s">
        <v>8</v>
      </c>
      <c r="K60" s="241"/>
      <c r="L60" s="142"/>
      <c r="M60" s="143" t="s">
        <v>64</v>
      </c>
      <c r="N60" s="242" t="s">
        <v>65</v>
      </c>
      <c r="O60" s="130" t="s">
        <v>8</v>
      </c>
      <c r="P60" s="132"/>
    </row>
    <row r="61" spans="5:22" x14ac:dyDescent="0.2">
      <c r="E61" s="296" t="s">
        <v>66</v>
      </c>
      <c r="F61" s="141" t="s">
        <v>64</v>
      </c>
      <c r="G61" s="237">
        <v>0</v>
      </c>
      <c r="H61" s="244">
        <f>VLOOKUP($F$45,'MCC Data'!$A$9:$Y$56,4,FALSE)+VLOOKUP($F$45,'MCC Data'!$A$9:$Y$56,5,FALSE)+VLOOKUP($F$45,'MCC Data'!$A$9:$Y$56,6,FALSE)</f>
        <v>2</v>
      </c>
      <c r="I61" s="140">
        <f>SUM(G61:H61)</f>
        <v>2</v>
      </c>
      <c r="K61" s="296" t="s">
        <v>66</v>
      </c>
      <c r="L61" s="141" t="s">
        <v>64</v>
      </c>
      <c r="M61" s="237">
        <v>0</v>
      </c>
      <c r="N61" s="244">
        <f>VLOOKUP($F$45,'MCC Data'!$A$9:$Y$56,4,FALSE)*'PCU Data'!$P$14+VLOOKUP($F$45,'MCC Data'!$A$9:$Y$56,5,FALSE)*'PCU Data'!$Q$14+VLOOKUP($F$45,'MCC Data'!$A$9:$Y$56,6,FALSE)*'PCU Data'!$R$14</f>
        <v>3.8</v>
      </c>
      <c r="O61" s="140">
        <f>SUM(M61:N61)</f>
        <v>3.8</v>
      </c>
      <c r="P61" s="140"/>
    </row>
    <row r="62" spans="5:22" x14ac:dyDescent="0.2">
      <c r="E62" s="296"/>
      <c r="F62" s="242" t="s">
        <v>65</v>
      </c>
      <c r="G62" s="243">
        <f>VLOOKUP($F$45,'MCC Data'!$A$9:$Y$56,12,FALSE)+VLOOKUP($F$45,'MCC Data'!$A$9:$Y$56,13,FALSE)+VLOOKUP($F$45,'MCC Data'!$A$9:$Y$56,14,FALSE)</f>
        <v>0</v>
      </c>
      <c r="H62" s="239">
        <v>0</v>
      </c>
      <c r="I62" s="243">
        <f>SUM(G62:H62)</f>
        <v>0</v>
      </c>
      <c r="K62" s="296"/>
      <c r="L62" s="242" t="s">
        <v>65</v>
      </c>
      <c r="M62" s="243">
        <f>VLOOKUP($F$45,'MCC Data'!$A$9:$Y$56,12,FALSE)*'PCU Data'!$P$14+VLOOKUP($F$45,'MCC Data'!$A$9:$Y$56,13,FALSE)*'PCU Data'!$Q$14+VLOOKUP($F$45,'MCC Data'!$A$9:$Y$56,14,FALSE)*'PCU Data'!$R$14</f>
        <v>0</v>
      </c>
      <c r="N62" s="239">
        <v>0</v>
      </c>
      <c r="O62" s="243">
        <f>SUM(M62:N62)</f>
        <v>0</v>
      </c>
      <c r="P62" s="140"/>
    </row>
    <row r="63" spans="5:22" x14ac:dyDescent="0.2">
      <c r="E63" s="241"/>
      <c r="F63" s="146" t="s">
        <v>8</v>
      </c>
      <c r="G63" s="147">
        <f>SUM(G61:G62)</f>
        <v>0</v>
      </c>
      <c r="H63" s="244">
        <f>SUM(H61:H62)</f>
        <v>2</v>
      </c>
      <c r="I63" s="132">
        <f>SUM(G63:H63)</f>
        <v>2</v>
      </c>
      <c r="K63" s="241"/>
      <c r="L63" s="146" t="s">
        <v>8</v>
      </c>
      <c r="M63" s="147">
        <f>SUM(M61:M62)</f>
        <v>0</v>
      </c>
      <c r="N63" s="244">
        <f>SUM(N61:N62)</f>
        <v>3.8</v>
      </c>
      <c r="O63" s="147">
        <f>SUM(M63:N63)</f>
        <v>3.8</v>
      </c>
      <c r="P63" s="132"/>
    </row>
    <row r="64" spans="5:22" x14ac:dyDescent="0.2">
      <c r="E64" s="241"/>
      <c r="J64" s="157">
        <f>VLOOKUP($F$45,'MCC Data'!$A$9:$Y$56,20,FALSE)+VLOOKUP($F$45,'MCC Data'!$A$9:$Y$56,21,FALSE)+VLOOKUP($F$45,'MCC Data'!$A$9:$Y$56,22,FALSE)</f>
        <v>2</v>
      </c>
      <c r="K64" s="241"/>
      <c r="L64" s="132"/>
      <c r="M64" s="147"/>
      <c r="N64" s="147"/>
      <c r="O64" s="132"/>
      <c r="P64" s="132"/>
    </row>
    <row r="65" spans="5:22" ht="12.75" customHeight="1" x14ac:dyDescent="0.2">
      <c r="E65" s="241"/>
      <c r="F65" s="10" t="s">
        <v>100</v>
      </c>
      <c r="K65" s="241"/>
      <c r="L65" s="10" t="s">
        <v>99</v>
      </c>
      <c r="T65" s="165"/>
    </row>
    <row r="66" spans="5:22" x14ac:dyDescent="0.2">
      <c r="E66" s="241"/>
      <c r="F66" s="142"/>
      <c r="G66" s="143" t="s">
        <v>64</v>
      </c>
      <c r="H66" s="242" t="s">
        <v>65</v>
      </c>
      <c r="I66" s="130" t="s">
        <v>8</v>
      </c>
      <c r="K66" s="241"/>
      <c r="L66" s="142"/>
      <c r="M66" s="143" t="s">
        <v>64</v>
      </c>
      <c r="N66" s="242" t="s">
        <v>65</v>
      </c>
      <c r="O66" s="130" t="s">
        <v>8</v>
      </c>
    </row>
    <row r="67" spans="5:22" x14ac:dyDescent="0.2">
      <c r="E67" s="296" t="s">
        <v>66</v>
      </c>
      <c r="F67" s="141" t="s">
        <v>64</v>
      </c>
      <c r="G67" s="237">
        <v>0</v>
      </c>
      <c r="H67" s="244">
        <f>IF($N$45=1,H49,IF($N$45=2,H49-N49,IF($N$45=3,H49-N49-T49,IF($N$45=4,H55,IF($N$45=5,H55-N55,IF($N$45=6,H55-N55-T55,"ERROR"))))))</f>
        <v>25</v>
      </c>
      <c r="I67" s="140">
        <f>SUM(G67:H67)</f>
        <v>25</v>
      </c>
      <c r="K67" s="296" t="s">
        <v>66</v>
      </c>
      <c r="L67" s="141" t="s">
        <v>64</v>
      </c>
      <c r="M67" s="163">
        <f t="shared" ref="M67:O69" si="3">IFERROR(IF($N$45=1,G61/G49,IF($N$45=2,G61/(G49-M49),IF($N$45=3,G61/(G49-M49-S49),IF($N$45=4,M61/G55,IF($N$45=5,M61/(G55-M55),IF($N$45=6,M61/(G55-M55-S55),"ERROR")))))),0)</f>
        <v>0</v>
      </c>
      <c r="N67" s="246">
        <f t="shared" si="3"/>
        <v>0.08</v>
      </c>
      <c r="O67" s="163">
        <f t="shared" si="3"/>
        <v>0.08</v>
      </c>
    </row>
    <row r="68" spans="5:22" ht="12.75" customHeight="1" x14ac:dyDescent="0.2">
      <c r="E68" s="296"/>
      <c r="F68" s="242" t="s">
        <v>65</v>
      </c>
      <c r="G68" s="243">
        <f>IF($N$45=1,G50,IF($N$45=2,G50-M50,IF($N$45=3,G50-M50-S50,IF($N$45=4,G56,IF($N$45=5,G56-M56,IF($N$45=6,G56-M56-S56,"ERROR"))))))</f>
        <v>13</v>
      </c>
      <c r="H68" s="239">
        <v>0</v>
      </c>
      <c r="I68" s="243">
        <f>SUM(G68:H68)</f>
        <v>13</v>
      </c>
      <c r="K68" s="296"/>
      <c r="L68" s="242" t="s">
        <v>65</v>
      </c>
      <c r="M68" s="245">
        <f t="shared" si="3"/>
        <v>0</v>
      </c>
      <c r="N68" s="247">
        <f t="shared" si="3"/>
        <v>0</v>
      </c>
      <c r="O68" s="245">
        <f t="shared" si="3"/>
        <v>0</v>
      </c>
    </row>
    <row r="69" spans="5:22" x14ac:dyDescent="0.2">
      <c r="E69" s="158"/>
      <c r="F69" s="146" t="s">
        <v>8</v>
      </c>
      <c r="G69" s="147">
        <f>SUM(G67:G68)</f>
        <v>13</v>
      </c>
      <c r="H69" s="244">
        <f>SUM(H67:H68)</f>
        <v>25</v>
      </c>
      <c r="I69" s="147">
        <f>IF($N$45=1,I51,IF($N$45=2,I51-O51,IF($N$45=3,I51-O51-U51,IF($N$45=4,I57,IF($N$45=5,I57-O57,IF($N$45=6,I57-O57-U57,"ERROR"))))))</f>
        <v>38</v>
      </c>
      <c r="K69" s="241"/>
      <c r="L69" s="146" t="s">
        <v>8</v>
      </c>
      <c r="M69" s="164">
        <f t="shared" si="3"/>
        <v>0</v>
      </c>
      <c r="N69" s="246">
        <f t="shared" si="3"/>
        <v>0.08</v>
      </c>
      <c r="O69" s="164">
        <f t="shared" si="3"/>
        <v>5.2631578947368418E-2</v>
      </c>
    </row>
    <row r="70" spans="5:22" x14ac:dyDescent="0.2">
      <c r="E70" s="158"/>
    </row>
    <row r="71" spans="5:22" x14ac:dyDescent="0.2">
      <c r="E71" s="9" t="s">
        <v>89</v>
      </c>
    </row>
    <row r="72" spans="5:22" x14ac:dyDescent="0.2">
      <c r="N72" s="204" t="str">
        <f>N44</f>
        <v>Type</v>
      </c>
    </row>
    <row r="73" spans="5:22" ht="12.75" customHeight="1" x14ac:dyDescent="0.2">
      <c r="F73" s="204">
        <f>'Movement Matrices'!D31</f>
        <v>0.29166666666666669</v>
      </c>
      <c r="G73" s="129" t="str">
        <f>G45</f>
        <v>Vehicles</v>
      </c>
      <c r="H73" s="129" t="str">
        <f>H45</f>
        <v>All Classes</v>
      </c>
      <c r="K73" s="129" t="str">
        <f>K45</f>
        <v>VehiclesAll Classes</v>
      </c>
      <c r="N73" s="140">
        <f>N45</f>
        <v>1</v>
      </c>
    </row>
    <row r="75" spans="5:22" x14ac:dyDescent="0.2">
      <c r="F75" s="33" t="s">
        <v>68</v>
      </c>
      <c r="L75" s="10" t="s">
        <v>70</v>
      </c>
      <c r="R75" s="10" t="s">
        <v>71</v>
      </c>
    </row>
    <row r="76" spans="5:22" x14ac:dyDescent="0.2">
      <c r="E76" s="241"/>
      <c r="F76" s="239"/>
      <c r="G76" s="143" t="s">
        <v>64</v>
      </c>
      <c r="H76" s="242" t="s">
        <v>65</v>
      </c>
      <c r="I76" s="238" t="s">
        <v>8</v>
      </c>
      <c r="K76" s="241"/>
      <c r="L76" s="239"/>
      <c r="M76" s="143" t="s">
        <v>64</v>
      </c>
      <c r="N76" s="242" t="s">
        <v>65</v>
      </c>
      <c r="O76" s="238" t="s">
        <v>8</v>
      </c>
      <c r="R76" s="239"/>
      <c r="S76" s="143" t="s">
        <v>64</v>
      </c>
      <c r="T76" s="242" t="s">
        <v>65</v>
      </c>
      <c r="U76" s="238" t="s">
        <v>8</v>
      </c>
    </row>
    <row r="77" spans="5:22" ht="12.75" customHeight="1" x14ac:dyDescent="0.2">
      <c r="E77" s="296" t="s">
        <v>66</v>
      </c>
      <c r="F77" s="141" t="s">
        <v>64</v>
      </c>
      <c r="G77" s="237">
        <v>0</v>
      </c>
      <c r="H77" s="146">
        <f>VLOOKUP($F$73,'MCC Data'!$A$58:$Y$102,9,FALSE)</f>
        <v>172</v>
      </c>
      <c r="I77" s="140">
        <f>SUM(G77:H77)</f>
        <v>172</v>
      </c>
      <c r="K77" s="296" t="s">
        <v>66</v>
      </c>
      <c r="L77" s="141" t="s">
        <v>64</v>
      </c>
      <c r="M77" s="237">
        <v>0</v>
      </c>
      <c r="N77" s="146">
        <f>VLOOKUP($F$73,'MCC Data'!$A$58:$Y$102,8,FALSE)</f>
        <v>12</v>
      </c>
      <c r="O77" s="140">
        <f>SUM(M77:N77)</f>
        <v>12</v>
      </c>
      <c r="Q77" s="296" t="s">
        <v>66</v>
      </c>
      <c r="R77" s="141" t="s">
        <v>64</v>
      </c>
      <c r="S77" s="237">
        <v>0</v>
      </c>
      <c r="T77" s="146">
        <f>VLOOKUP($F$73,'MCC Data'!$A$58:$Y$102,7,FALSE)</f>
        <v>1</v>
      </c>
      <c r="U77" s="140">
        <f>SUM(S77:T77)</f>
        <v>1</v>
      </c>
    </row>
    <row r="78" spans="5:22" x14ac:dyDescent="0.2">
      <c r="E78" s="296"/>
      <c r="F78" s="242" t="s">
        <v>65</v>
      </c>
      <c r="G78" s="238">
        <f>VLOOKUP($F$73,'MCC Data'!$A$58:$Y$102,17,FALSE)</f>
        <v>62</v>
      </c>
      <c r="H78" s="239">
        <v>0</v>
      </c>
      <c r="I78" s="243">
        <f>SUM(G78:H78)</f>
        <v>62</v>
      </c>
      <c r="K78" s="296"/>
      <c r="L78" s="242" t="s">
        <v>65</v>
      </c>
      <c r="M78" s="238">
        <f>VLOOKUP($F$73,'MCC Data'!$A$58:$Y$102,16,FALSE)</f>
        <v>5</v>
      </c>
      <c r="N78" s="239">
        <v>0</v>
      </c>
      <c r="O78" s="243">
        <f>SUM(M78:N78)</f>
        <v>5</v>
      </c>
      <c r="Q78" s="296"/>
      <c r="R78" s="242" t="s">
        <v>65</v>
      </c>
      <c r="S78" s="238">
        <f>VLOOKUP($F$73,'MCC Data'!$A$58:$Y$102,15,FALSE)</f>
        <v>0</v>
      </c>
      <c r="T78" s="239">
        <v>0</v>
      </c>
      <c r="U78" s="243">
        <f>SUM(S78:T78)</f>
        <v>0</v>
      </c>
    </row>
    <row r="79" spans="5:22" x14ac:dyDescent="0.2">
      <c r="E79" s="241"/>
      <c r="F79" s="146" t="s">
        <v>8</v>
      </c>
      <c r="G79" s="132">
        <f>SUM(G77:G78)</f>
        <v>62</v>
      </c>
      <c r="H79" s="146">
        <f>SUM(H77:H78)</f>
        <v>172</v>
      </c>
      <c r="I79" s="132">
        <f>SUM(G79:H79)</f>
        <v>234</v>
      </c>
      <c r="J79" s="132"/>
      <c r="K79" s="241"/>
      <c r="L79" s="146" t="s">
        <v>8</v>
      </c>
      <c r="M79" s="132">
        <f>SUM(M77:M78)</f>
        <v>5</v>
      </c>
      <c r="N79" s="146">
        <f>SUM(N77:N78)</f>
        <v>12</v>
      </c>
      <c r="O79" s="147">
        <f>SUM(M79:N79)</f>
        <v>17</v>
      </c>
      <c r="P79" s="132"/>
      <c r="R79" s="146" t="s">
        <v>8</v>
      </c>
      <c r="S79" s="132">
        <f>SUM(S77:S78)</f>
        <v>0</v>
      </c>
      <c r="T79" s="146">
        <f>SUM(T77:T78)</f>
        <v>1</v>
      </c>
      <c r="U79" s="147">
        <f>SUM(S79:T79)</f>
        <v>1</v>
      </c>
    </row>
    <row r="80" spans="5:22" ht="12.75" customHeight="1" x14ac:dyDescent="0.2">
      <c r="E80" s="241"/>
      <c r="J80" s="157">
        <f>VLOOKUP($F$73,'MCC Data'!$A$58:$Y$102,25,FALSE)</f>
        <v>234</v>
      </c>
      <c r="K80" s="241"/>
      <c r="O80" s="132"/>
      <c r="P80" s="157">
        <f>VLOOKUP($F$73,'MCC Data'!$A$58:$Y$102,24,FALSE)</f>
        <v>17</v>
      </c>
      <c r="U80" s="132"/>
      <c r="V80" s="157">
        <f>VLOOKUP($F$73,'MCC Data'!$A$58:$Y$102,23,FALSE)</f>
        <v>1</v>
      </c>
    </row>
    <row r="81" spans="5:22" x14ac:dyDescent="0.2">
      <c r="E81" s="241"/>
      <c r="F81" s="33" t="s">
        <v>69</v>
      </c>
      <c r="K81" s="241"/>
      <c r="L81" s="10" t="s">
        <v>73</v>
      </c>
      <c r="R81" s="10" t="s">
        <v>74</v>
      </c>
    </row>
    <row r="82" spans="5:22" x14ac:dyDescent="0.2">
      <c r="E82" s="241"/>
      <c r="F82" s="239"/>
      <c r="G82" s="143" t="s">
        <v>64</v>
      </c>
      <c r="H82" s="242" t="s">
        <v>65</v>
      </c>
      <c r="I82" s="238" t="s">
        <v>8</v>
      </c>
      <c r="K82" s="241"/>
      <c r="L82" s="239"/>
      <c r="M82" s="143" t="s">
        <v>64</v>
      </c>
      <c r="N82" s="242" t="s">
        <v>65</v>
      </c>
      <c r="O82" s="238" t="s">
        <v>8</v>
      </c>
      <c r="P82" s="132"/>
      <c r="R82" s="239"/>
      <c r="S82" s="143" t="s">
        <v>64</v>
      </c>
      <c r="T82" s="242" t="s">
        <v>65</v>
      </c>
      <c r="U82" s="238" t="s">
        <v>8</v>
      </c>
    </row>
    <row r="83" spans="5:22" x14ac:dyDescent="0.2">
      <c r="E83" s="296" t="s">
        <v>66</v>
      </c>
      <c r="F83" s="141" t="s">
        <v>64</v>
      </c>
      <c r="G83" s="237">
        <v>0</v>
      </c>
      <c r="H83" s="244">
        <f>VLOOKUP($F$73,'PCU Data'!$A$60:$J$104,2,FALSE)</f>
        <v>166.89999999999998</v>
      </c>
      <c r="I83" s="140">
        <f>SUM(G83:H83)</f>
        <v>166.89999999999998</v>
      </c>
      <c r="K83" s="296" t="s">
        <v>66</v>
      </c>
      <c r="L83" s="141" t="s">
        <v>64</v>
      </c>
      <c r="M83" s="237">
        <v>0</v>
      </c>
      <c r="N83" s="244">
        <f>N77*'PCU Data'!$T$14</f>
        <v>2.4000000000000004</v>
      </c>
      <c r="O83" s="140">
        <f>SUM(M83:N83)</f>
        <v>2.4000000000000004</v>
      </c>
      <c r="P83" s="140"/>
      <c r="Q83" s="296" t="s">
        <v>66</v>
      </c>
      <c r="R83" s="141" t="s">
        <v>64</v>
      </c>
      <c r="S83" s="237">
        <v>0</v>
      </c>
      <c r="T83" s="244">
        <f>T77*'PCU Data'!$S$14</f>
        <v>0.4</v>
      </c>
      <c r="U83" s="140">
        <f>SUM(S83:T83)</f>
        <v>0.4</v>
      </c>
      <c r="V83" s="132"/>
    </row>
    <row r="84" spans="5:22" x14ac:dyDescent="0.2">
      <c r="E84" s="296"/>
      <c r="F84" s="242" t="s">
        <v>65</v>
      </c>
      <c r="G84" s="243">
        <f>VLOOKUP($F$73,'PCU Data'!$A$60:$J$104,3,FALSE)</f>
        <v>60.400000000000006</v>
      </c>
      <c r="H84" s="239">
        <v>0</v>
      </c>
      <c r="I84" s="243">
        <f>SUM(G84:H84)</f>
        <v>60.400000000000006</v>
      </c>
      <c r="K84" s="296"/>
      <c r="L84" s="242" t="s">
        <v>65</v>
      </c>
      <c r="M84" s="243">
        <f>M78*'PCU Data'!$T$14</f>
        <v>1</v>
      </c>
      <c r="N84" s="239">
        <v>0</v>
      </c>
      <c r="O84" s="243">
        <f>SUM(M84:N84)</f>
        <v>1</v>
      </c>
      <c r="P84" s="140"/>
      <c r="Q84" s="296"/>
      <c r="R84" s="242" t="s">
        <v>65</v>
      </c>
      <c r="S84" s="243">
        <f>S78*'PCU Data'!$S$14</f>
        <v>0</v>
      </c>
      <c r="T84" s="239">
        <v>0</v>
      </c>
      <c r="U84" s="243">
        <f>SUM(S84:T84)</f>
        <v>0</v>
      </c>
    </row>
    <row r="85" spans="5:22" x14ac:dyDescent="0.2">
      <c r="E85" s="241"/>
      <c r="F85" s="146" t="s">
        <v>8</v>
      </c>
      <c r="G85" s="147">
        <f>SUM(G83:G84)</f>
        <v>60.400000000000006</v>
      </c>
      <c r="H85" s="244">
        <f>SUM(H83:H84)</f>
        <v>166.89999999999998</v>
      </c>
      <c r="I85" s="147">
        <f>SUM(G85:H85)</f>
        <v>227.29999999999998</v>
      </c>
      <c r="K85" s="241"/>
      <c r="L85" s="146" t="s">
        <v>8</v>
      </c>
      <c r="M85" s="147">
        <f>SUM(M83:M84)</f>
        <v>1</v>
      </c>
      <c r="N85" s="244">
        <f>SUM(N83:N84)</f>
        <v>2.4000000000000004</v>
      </c>
      <c r="O85" s="147">
        <f>SUM(M85:N85)</f>
        <v>3.4000000000000004</v>
      </c>
      <c r="P85" s="132"/>
      <c r="R85" s="146" t="s">
        <v>8</v>
      </c>
      <c r="S85" s="147">
        <f>SUM(S83:S84)</f>
        <v>0</v>
      </c>
      <c r="T85" s="244">
        <f>SUM(T83:T84)</f>
        <v>0.4</v>
      </c>
      <c r="U85" s="147">
        <f>SUM(S85:T85)</f>
        <v>0.4</v>
      </c>
    </row>
    <row r="86" spans="5:22" ht="12.75" customHeight="1" x14ac:dyDescent="0.2">
      <c r="E86" s="241"/>
      <c r="K86" s="241"/>
    </row>
    <row r="87" spans="5:22" ht="12.75" customHeight="1" x14ac:dyDescent="0.2">
      <c r="E87" s="241"/>
      <c r="F87" s="33" t="s">
        <v>72</v>
      </c>
      <c r="K87" s="241"/>
      <c r="L87" s="33" t="s">
        <v>75</v>
      </c>
    </row>
    <row r="88" spans="5:22" ht="12.75" customHeight="1" x14ac:dyDescent="0.2">
      <c r="E88" s="241"/>
      <c r="F88" s="239"/>
      <c r="G88" s="143" t="s">
        <v>64</v>
      </c>
      <c r="H88" s="242" t="s">
        <v>65</v>
      </c>
      <c r="I88" s="238" t="s">
        <v>8</v>
      </c>
      <c r="K88" s="241"/>
      <c r="L88" s="239"/>
      <c r="M88" s="143" t="s">
        <v>64</v>
      </c>
      <c r="N88" s="242" t="s">
        <v>65</v>
      </c>
      <c r="O88" s="238" t="s">
        <v>8</v>
      </c>
      <c r="P88" s="132"/>
    </row>
    <row r="89" spans="5:22" ht="12.75" customHeight="1" x14ac:dyDescent="0.2">
      <c r="E89" s="296" t="s">
        <v>66</v>
      </c>
      <c r="F89" s="141" t="s">
        <v>64</v>
      </c>
      <c r="G89" s="237">
        <v>0</v>
      </c>
      <c r="H89" s="244">
        <f>VLOOKUP($F$73,'MCC Data'!$A$58:$Y$102,4,FALSE)+VLOOKUP($F$73,'MCC Data'!$A$58:$Y$102,5,FALSE)+VLOOKUP($F$73,'MCC Data'!$A$58:$Y$102,6,FALSE)</f>
        <v>5</v>
      </c>
      <c r="I89" s="140">
        <f>SUM(G89:H89)</f>
        <v>5</v>
      </c>
      <c r="K89" s="296" t="s">
        <v>66</v>
      </c>
      <c r="L89" s="141" t="s">
        <v>64</v>
      </c>
      <c r="M89" s="237">
        <v>0</v>
      </c>
      <c r="N89" s="244">
        <f>VLOOKUP($F$73,'MCC Data'!$A$58:$Y$102,4,FALSE)*'PCU Data'!$P$14+VLOOKUP($F$73,'MCC Data'!$A$58:$Y$102,5,FALSE)*'PCU Data'!$Q$14+VLOOKUP($F$73,'MCC Data'!$A$58:$Y$102,6,FALSE)*'PCU Data'!$R$14</f>
        <v>10.1</v>
      </c>
      <c r="O89" s="140">
        <f>SUM(M89:N89)</f>
        <v>10.1</v>
      </c>
      <c r="P89" s="140"/>
    </row>
    <row r="90" spans="5:22" x14ac:dyDescent="0.2">
      <c r="E90" s="296"/>
      <c r="F90" s="242" t="s">
        <v>65</v>
      </c>
      <c r="G90" s="243">
        <f>VLOOKUP($F$73,'MCC Data'!$A$58:$Y$102,12,FALSE)+VLOOKUP($F$73,'MCC Data'!$A$58:$Y$102,13,FALSE)+VLOOKUP($F$73,'MCC Data'!$A$58:$Y$102,14,FALSE)</f>
        <v>2</v>
      </c>
      <c r="H90" s="239">
        <v>0</v>
      </c>
      <c r="I90" s="243">
        <f>SUM(G90:H90)</f>
        <v>2</v>
      </c>
      <c r="K90" s="296"/>
      <c r="L90" s="242" t="s">
        <v>65</v>
      </c>
      <c r="M90" s="243">
        <f>VLOOKUP($F$73,'MCC Data'!$A$58:$Y$102,12,FALSE)*'PCU Data'!$P$14+VLOOKUP($F$73,'MCC Data'!$A$58:$Y$102,13,FALSE)*'PCU Data'!$Q$14+VLOOKUP($F$73,'MCC Data'!$A$58:$Y$102,14,FALSE)*'PCU Data'!$R$14</f>
        <v>4.4000000000000004</v>
      </c>
      <c r="N90" s="239">
        <v>0</v>
      </c>
      <c r="O90" s="243">
        <f>SUM(M90:N90)</f>
        <v>4.4000000000000004</v>
      </c>
      <c r="P90" s="140"/>
    </row>
    <row r="91" spans="5:22" x14ac:dyDescent="0.2">
      <c r="E91" s="241"/>
      <c r="F91" s="146" t="s">
        <v>8</v>
      </c>
      <c r="G91" s="147">
        <f>SUM(G89:G90)</f>
        <v>2</v>
      </c>
      <c r="H91" s="244">
        <f>SUM(H89:H90)</f>
        <v>5</v>
      </c>
      <c r="I91" s="132">
        <f>SUM(G91:H91)</f>
        <v>7</v>
      </c>
      <c r="K91" s="241"/>
      <c r="L91" s="146" t="s">
        <v>8</v>
      </c>
      <c r="M91" s="147">
        <f>SUM(M89:M90)</f>
        <v>4.4000000000000004</v>
      </c>
      <c r="N91" s="244">
        <f>SUM(N89:N90)</f>
        <v>10.1</v>
      </c>
      <c r="O91" s="147">
        <f>SUM(M91:N91)</f>
        <v>14.5</v>
      </c>
      <c r="P91" s="132"/>
    </row>
    <row r="92" spans="5:22" x14ac:dyDescent="0.2">
      <c r="E92" s="241"/>
      <c r="J92" s="157">
        <f>VLOOKUP($F$73,'MCC Data'!$A$58:$Y$102,20,FALSE)+VLOOKUP($F$73,'MCC Data'!$A$58:$Y$102,21,FALSE)+VLOOKUP($F$73,'MCC Data'!$A$58:$Y$102,22,FALSE)</f>
        <v>7</v>
      </c>
      <c r="K92" s="241"/>
      <c r="L92" s="132"/>
      <c r="M92" s="147"/>
      <c r="N92" s="147"/>
      <c r="O92" s="132"/>
      <c r="P92" s="132"/>
    </row>
    <row r="93" spans="5:22" x14ac:dyDescent="0.2">
      <c r="E93" s="241"/>
      <c r="F93" s="10" t="s">
        <v>100</v>
      </c>
      <c r="K93" s="241"/>
      <c r="L93" s="10" t="s">
        <v>99</v>
      </c>
      <c r="T93" s="165"/>
    </row>
    <row r="94" spans="5:22" x14ac:dyDescent="0.2">
      <c r="E94" s="241"/>
      <c r="F94" s="239"/>
      <c r="G94" s="143" t="s">
        <v>64</v>
      </c>
      <c r="H94" s="242" t="s">
        <v>65</v>
      </c>
      <c r="I94" s="238" t="s">
        <v>8</v>
      </c>
      <c r="K94" s="241"/>
      <c r="L94" s="239"/>
      <c r="M94" s="143" t="s">
        <v>64</v>
      </c>
      <c r="N94" s="242" t="s">
        <v>65</v>
      </c>
      <c r="O94" s="238" t="s">
        <v>8</v>
      </c>
    </row>
    <row r="95" spans="5:22" ht="12.75" customHeight="1" x14ac:dyDescent="0.2">
      <c r="E95" s="296" t="s">
        <v>66</v>
      </c>
      <c r="F95" s="141" t="s">
        <v>64</v>
      </c>
      <c r="G95" s="237">
        <v>0</v>
      </c>
      <c r="H95" s="244">
        <f>IF($N$45=1,H77,IF($N$45=2,H77-N77,IF($N$45=3,H77-N77-T77,IF($N$45=4,H83,IF($N$45=5,H83-N83,IF($N$45=6,H83-N83-T83,"ERROR"))))))</f>
        <v>172</v>
      </c>
      <c r="I95" s="140">
        <f>SUM(G95:H95)</f>
        <v>172</v>
      </c>
      <c r="K95" s="296" t="s">
        <v>66</v>
      </c>
      <c r="L95" s="141" t="s">
        <v>64</v>
      </c>
      <c r="M95" s="163">
        <f t="shared" ref="M95:O97" si="4">IFERROR(IF($N$45=1,G89/G77,IF($N$45=2,G89/(G77-M77),IF($N$45=3,G89/(G77-M77-S77),IF($N$45=4,M89/G83,IF($N$45=5,M89/(G83-M83),IF($N$45=6,M89/(G83-M83-S83),"ERROR")))))),0)</f>
        <v>0</v>
      </c>
      <c r="N95" s="246">
        <f t="shared" si="4"/>
        <v>2.9069767441860465E-2</v>
      </c>
      <c r="O95" s="163">
        <f t="shared" si="4"/>
        <v>2.9069767441860465E-2</v>
      </c>
    </row>
    <row r="96" spans="5:22" ht="12.75" customHeight="1" x14ac:dyDescent="0.2">
      <c r="E96" s="296"/>
      <c r="F96" s="242" t="s">
        <v>65</v>
      </c>
      <c r="G96" s="243">
        <f>IF($N$45=1,G78,IF($N$45=2,G78-M78,IF($N$45=3,G78-M78-S78,IF($N$45=4,G84,IF($N$45=5,G84-M84,IF($N$45=6,G84-M84-S84,"ERROR"))))))</f>
        <v>62</v>
      </c>
      <c r="H96" s="239">
        <v>0</v>
      </c>
      <c r="I96" s="243">
        <f>SUM(G96:H96)</f>
        <v>62</v>
      </c>
      <c r="K96" s="296"/>
      <c r="L96" s="242" t="s">
        <v>65</v>
      </c>
      <c r="M96" s="245">
        <f t="shared" si="4"/>
        <v>3.2258064516129031E-2</v>
      </c>
      <c r="N96" s="247">
        <f t="shared" si="4"/>
        <v>0</v>
      </c>
      <c r="O96" s="245">
        <f t="shared" si="4"/>
        <v>3.2258064516129031E-2</v>
      </c>
    </row>
    <row r="97" spans="5:23" x14ac:dyDescent="0.2">
      <c r="E97" s="241"/>
      <c r="F97" s="146" t="s">
        <v>8</v>
      </c>
      <c r="G97" s="147">
        <f>SUM(G95:G96)</f>
        <v>62</v>
      </c>
      <c r="H97" s="244">
        <f>SUM(H95:H96)</f>
        <v>172</v>
      </c>
      <c r="I97" s="147">
        <f>IF($N$45=1,I79,IF($N$45=2,I79-O79,IF($N$45=3,I79-O79-U79,IF($N$45=4,I85,IF($N$45=5,I85-O85,IF($N$45=6,I85-O85-U85,"ERROR"))))))</f>
        <v>234</v>
      </c>
      <c r="K97" s="241"/>
      <c r="L97" s="146" t="s">
        <v>8</v>
      </c>
      <c r="M97" s="164">
        <f t="shared" si="4"/>
        <v>3.2258064516129031E-2</v>
      </c>
      <c r="N97" s="246">
        <f t="shared" si="4"/>
        <v>2.9069767441860465E-2</v>
      </c>
      <c r="O97" s="164">
        <f t="shared" si="4"/>
        <v>2.9914529914529916E-2</v>
      </c>
    </row>
    <row r="98" spans="5:23" ht="12.75" customHeight="1" x14ac:dyDescent="0.2">
      <c r="E98" s="166"/>
      <c r="F98" s="132"/>
      <c r="G98" s="147"/>
      <c r="H98" s="147"/>
      <c r="I98" s="147"/>
      <c r="J98" s="147"/>
      <c r="K98" s="147"/>
      <c r="N98" s="132"/>
      <c r="O98" s="164"/>
      <c r="P98" s="164"/>
      <c r="Q98" s="164"/>
      <c r="R98" s="164"/>
    </row>
    <row r="99" spans="5:23" x14ac:dyDescent="0.2">
      <c r="E99" s="9" t="s">
        <v>107</v>
      </c>
      <c r="F99" s="132"/>
      <c r="G99" s="147"/>
      <c r="H99" s="147"/>
      <c r="I99" s="147"/>
      <c r="J99" s="147"/>
      <c r="K99" s="147"/>
      <c r="N99" s="132"/>
      <c r="O99" s="9" t="s">
        <v>115</v>
      </c>
      <c r="P99" s="132"/>
      <c r="Q99" s="147"/>
      <c r="R99" s="147"/>
      <c r="S99" s="147"/>
      <c r="T99" s="147"/>
      <c r="U99" s="147"/>
    </row>
    <row r="100" spans="5:23" x14ac:dyDescent="0.2">
      <c r="E100" s="9"/>
      <c r="F100" s="132"/>
      <c r="G100" s="147"/>
      <c r="H100" s="286" t="s">
        <v>131</v>
      </c>
      <c r="I100" s="147"/>
      <c r="J100" s="147"/>
      <c r="K100" s="286" t="s">
        <v>131</v>
      </c>
      <c r="N100" s="132"/>
      <c r="O100" s="9"/>
      <c r="P100" s="132"/>
      <c r="Q100" s="147"/>
      <c r="R100" s="286" t="s">
        <v>131</v>
      </c>
      <c r="S100" s="147"/>
      <c r="T100" s="147"/>
      <c r="U100" s="286" t="s">
        <v>131</v>
      </c>
    </row>
    <row r="101" spans="5:23" x14ac:dyDescent="0.2">
      <c r="E101" s="167" t="s">
        <v>0</v>
      </c>
      <c r="F101" s="167" t="s">
        <v>62</v>
      </c>
      <c r="G101" s="167" t="s">
        <v>108</v>
      </c>
      <c r="H101" s="286"/>
      <c r="I101" s="167" t="s">
        <v>94</v>
      </c>
      <c r="J101" s="167" t="s">
        <v>108</v>
      </c>
      <c r="K101" s="286"/>
      <c r="L101" s="167" t="s">
        <v>109</v>
      </c>
      <c r="M101" s="167" t="s">
        <v>0</v>
      </c>
      <c r="O101" s="185" t="s">
        <v>0</v>
      </c>
      <c r="P101" s="185" t="s">
        <v>62</v>
      </c>
      <c r="Q101" s="185" t="s">
        <v>108</v>
      </c>
      <c r="R101" s="286"/>
      <c r="S101" s="185" t="s">
        <v>94</v>
      </c>
      <c r="T101" s="185" t="s">
        <v>108</v>
      </c>
      <c r="U101" s="286"/>
      <c r="V101" s="185" t="s">
        <v>109</v>
      </c>
      <c r="W101" s="185" t="s">
        <v>0</v>
      </c>
    </row>
    <row r="102" spans="5:23" x14ac:dyDescent="0.2">
      <c r="E102" s="138">
        <f>'MCC Data'!A9</f>
        <v>0.29166666666666669</v>
      </c>
      <c r="F102" s="167">
        <f>'MCC Data'!Y9</f>
        <v>38</v>
      </c>
      <c r="G102" s="167">
        <f>F102-'MCC Data'!X9</f>
        <v>34</v>
      </c>
      <c r="H102" s="167">
        <f>F102-'MCC Data'!X9-'MCC Data'!W9</f>
        <v>34</v>
      </c>
      <c r="I102" s="140">
        <f>SUM('PCU Data'!B11:C11)</f>
        <v>36.6</v>
      </c>
      <c r="J102" s="140">
        <f>I102-'MCC Data'!X9*'PCU Data'!$T$14</f>
        <v>35.800000000000004</v>
      </c>
      <c r="K102" s="140">
        <f>I102-'MCC Data'!X9*'PCU Data'!$T$14-'MCC Data'!W9*'PCU Data'!$S$14</f>
        <v>35.800000000000004</v>
      </c>
      <c r="L102" s="140">
        <f>CHOOSE($N$45,F102,G102,H102,I102,J102,K102)</f>
        <v>38</v>
      </c>
      <c r="M102" s="138">
        <f>E102</f>
        <v>0.29166666666666669</v>
      </c>
      <c r="O102" s="138">
        <f>'MCC Data'!A58</f>
        <v>0.29166666666666669</v>
      </c>
      <c r="P102" s="185">
        <f>'MCC Data'!Y58</f>
        <v>234</v>
      </c>
      <c r="Q102" s="185">
        <f>P102-'MCC Data'!X58</f>
        <v>217</v>
      </c>
      <c r="R102" s="185">
        <f>P102-'MCC Data'!X58-'MCC Data'!W58</f>
        <v>216</v>
      </c>
      <c r="S102" s="140">
        <f>SUM('PCU Data'!B60:C60)</f>
        <v>227.29999999999998</v>
      </c>
      <c r="T102" s="140">
        <f>S102-'MCC Data'!X58*'PCU Data'!$T$14</f>
        <v>223.89999999999998</v>
      </c>
      <c r="U102" s="140">
        <f>S102-'MCC Data'!X58*'PCU Data'!$T$14-'MCC Data'!W58*'PCU Data'!$S$14</f>
        <v>223.49999999999997</v>
      </c>
      <c r="V102" s="140">
        <f>CHOOSE($N$45,P102,Q102,R102,S102,T102,U102)</f>
        <v>234</v>
      </c>
      <c r="W102" s="138">
        <f>O102</f>
        <v>0.29166666666666669</v>
      </c>
    </row>
    <row r="103" spans="5:23" x14ac:dyDescent="0.2">
      <c r="E103" s="138">
        <f>'MCC Data'!A10</f>
        <v>0.30208333333333337</v>
      </c>
      <c r="F103" s="237">
        <f>'MCC Data'!Y10</f>
        <v>58</v>
      </c>
      <c r="G103" s="237">
        <f>F103-'MCC Data'!X10</f>
        <v>54</v>
      </c>
      <c r="H103" s="237">
        <f>F103-'MCC Data'!X10-'MCC Data'!W10</f>
        <v>54</v>
      </c>
      <c r="I103" s="140">
        <f>SUM('PCU Data'!B12:C12)</f>
        <v>57.2</v>
      </c>
      <c r="J103" s="140">
        <f>I103-'MCC Data'!X10*'PCU Data'!$T$14</f>
        <v>56.400000000000006</v>
      </c>
      <c r="K103" s="140">
        <f>I103-'MCC Data'!X10*'PCU Data'!$T$14-'MCC Data'!W10*'PCU Data'!$S$14</f>
        <v>56.400000000000006</v>
      </c>
      <c r="L103" s="140">
        <f t="shared" ref="L103:L149" si="5">CHOOSE($N$45,F103,G103,H103,I103,J103,K103)</f>
        <v>58</v>
      </c>
      <c r="M103" s="138">
        <f t="shared" ref="M103:M149" si="6">E103</f>
        <v>0.30208333333333337</v>
      </c>
      <c r="O103" s="138">
        <f>'MCC Data'!A59</f>
        <v>0.30208333333333337</v>
      </c>
      <c r="P103" s="237">
        <f>'MCC Data'!Y59</f>
        <v>289</v>
      </c>
      <c r="Q103" s="237">
        <f>P103-'MCC Data'!X59</f>
        <v>264</v>
      </c>
      <c r="R103" s="237">
        <f>P103-'MCC Data'!X59-'MCC Data'!W59</f>
        <v>263</v>
      </c>
      <c r="S103" s="140">
        <f>SUM('PCU Data'!B61:C61)</f>
        <v>278.3</v>
      </c>
      <c r="T103" s="140">
        <f>S103-'MCC Data'!X59*'PCU Data'!$T$14</f>
        <v>273.3</v>
      </c>
      <c r="U103" s="140">
        <f>S103-'MCC Data'!X59*'PCU Data'!$T$14-'MCC Data'!W59*'PCU Data'!$S$14</f>
        <v>272.90000000000003</v>
      </c>
      <c r="V103" s="140">
        <f t="shared" ref="V103:V146" si="7">CHOOSE($N$45,P103,Q103,R103,S103,T103,U103)</f>
        <v>289</v>
      </c>
      <c r="W103" s="138">
        <f t="shared" ref="W103:W146" si="8">O103</f>
        <v>0.30208333333333337</v>
      </c>
    </row>
    <row r="104" spans="5:23" ht="12.75" customHeight="1" x14ac:dyDescent="0.2">
      <c r="E104" s="138">
        <f>'MCC Data'!A11</f>
        <v>0.31250000000000006</v>
      </c>
      <c r="F104" s="237">
        <f>'MCC Data'!Y11</f>
        <v>71</v>
      </c>
      <c r="G104" s="237">
        <f>F104-'MCC Data'!X11</f>
        <v>68</v>
      </c>
      <c r="H104" s="237">
        <f>F104-'MCC Data'!X11-'MCC Data'!W11</f>
        <v>68</v>
      </c>
      <c r="I104" s="140">
        <f>SUM('PCU Data'!B13:C13)</f>
        <v>69.5</v>
      </c>
      <c r="J104" s="140">
        <f>I104-'MCC Data'!X11*'PCU Data'!$T$14</f>
        <v>68.900000000000006</v>
      </c>
      <c r="K104" s="140">
        <f>I104-'MCC Data'!X11*'PCU Data'!$T$14-'MCC Data'!W11*'PCU Data'!$S$14</f>
        <v>68.900000000000006</v>
      </c>
      <c r="L104" s="140">
        <f t="shared" si="5"/>
        <v>71</v>
      </c>
      <c r="M104" s="138">
        <f t="shared" si="6"/>
        <v>0.31250000000000006</v>
      </c>
      <c r="O104" s="138">
        <f>'MCC Data'!A60</f>
        <v>0.31250000000000006</v>
      </c>
      <c r="P104" s="237">
        <f>'MCC Data'!Y60</f>
        <v>326</v>
      </c>
      <c r="Q104" s="237">
        <f>P104-'MCC Data'!X60</f>
        <v>297</v>
      </c>
      <c r="R104" s="237">
        <f>P104-'MCC Data'!X60-'MCC Data'!W60</f>
        <v>296</v>
      </c>
      <c r="S104" s="140">
        <f>SUM('PCU Data'!B62:C62)</f>
        <v>312.10000000000002</v>
      </c>
      <c r="T104" s="140">
        <f>S104-'MCC Data'!X60*'PCU Data'!$T$14</f>
        <v>306.3</v>
      </c>
      <c r="U104" s="140">
        <f>S104-'MCC Data'!X60*'PCU Data'!$T$14-'MCC Data'!W60*'PCU Data'!$S$14</f>
        <v>305.90000000000003</v>
      </c>
      <c r="V104" s="140">
        <f t="shared" si="7"/>
        <v>326</v>
      </c>
      <c r="W104" s="138">
        <f t="shared" si="8"/>
        <v>0.31250000000000006</v>
      </c>
    </row>
    <row r="105" spans="5:23" x14ac:dyDescent="0.2">
      <c r="E105" s="138">
        <f>'MCC Data'!A12</f>
        <v>0.32291666666666674</v>
      </c>
      <c r="F105" s="237">
        <f>'MCC Data'!Y12</f>
        <v>67</v>
      </c>
      <c r="G105" s="237">
        <f>F105-'MCC Data'!X12</f>
        <v>61</v>
      </c>
      <c r="H105" s="237">
        <f>F105-'MCC Data'!X12-'MCC Data'!W12</f>
        <v>60</v>
      </c>
      <c r="I105" s="140">
        <f>SUM('PCU Data'!B14:C14)</f>
        <v>64</v>
      </c>
      <c r="J105" s="140">
        <f>I105-'MCC Data'!X12*'PCU Data'!$T$14</f>
        <v>62.8</v>
      </c>
      <c r="K105" s="140">
        <f>I105-'MCC Data'!X12*'PCU Data'!$T$14-'MCC Data'!W12*'PCU Data'!$S$14</f>
        <v>62.4</v>
      </c>
      <c r="L105" s="140">
        <f t="shared" si="5"/>
        <v>67</v>
      </c>
      <c r="M105" s="138">
        <f t="shared" si="6"/>
        <v>0.32291666666666674</v>
      </c>
      <c r="O105" s="138">
        <f>'MCC Data'!A61</f>
        <v>0.32291666666666674</v>
      </c>
      <c r="P105" s="237">
        <f>'MCC Data'!Y61</f>
        <v>351</v>
      </c>
      <c r="Q105" s="237">
        <f>P105-'MCC Data'!X61</f>
        <v>310</v>
      </c>
      <c r="R105" s="237">
        <f>P105-'MCC Data'!X61-'MCC Data'!W61</f>
        <v>309</v>
      </c>
      <c r="S105" s="140">
        <f>SUM('PCU Data'!B63:C63)</f>
        <v>329</v>
      </c>
      <c r="T105" s="140">
        <f>S105-'MCC Data'!X61*'PCU Data'!$T$14</f>
        <v>320.8</v>
      </c>
      <c r="U105" s="140">
        <f>S105-'MCC Data'!X61*'PCU Data'!$T$14-'MCC Data'!W61*'PCU Data'!$S$14</f>
        <v>320.40000000000003</v>
      </c>
      <c r="V105" s="140">
        <f t="shared" si="7"/>
        <v>351</v>
      </c>
      <c r="W105" s="138">
        <f t="shared" si="8"/>
        <v>0.32291666666666674</v>
      </c>
    </row>
    <row r="106" spans="5:23" x14ac:dyDescent="0.2">
      <c r="E106" s="138">
        <f>'MCC Data'!A13</f>
        <v>0.33333333333333343</v>
      </c>
      <c r="F106" s="237">
        <f>'MCC Data'!Y13</f>
        <v>93</v>
      </c>
      <c r="G106" s="237">
        <f>F106-'MCC Data'!X13</f>
        <v>81</v>
      </c>
      <c r="H106" s="237">
        <f>F106-'MCC Data'!X13-'MCC Data'!W13</f>
        <v>81</v>
      </c>
      <c r="I106" s="140">
        <f>SUM('PCU Data'!B15:C15)</f>
        <v>87.600000000000009</v>
      </c>
      <c r="J106" s="140">
        <f>I106-'MCC Data'!X13*'PCU Data'!$T$14</f>
        <v>85.2</v>
      </c>
      <c r="K106" s="140">
        <f>I106-'MCC Data'!X13*'PCU Data'!$T$14-'MCC Data'!W13*'PCU Data'!$S$14</f>
        <v>85.2</v>
      </c>
      <c r="L106" s="140">
        <f t="shared" si="5"/>
        <v>93</v>
      </c>
      <c r="M106" s="138">
        <f t="shared" si="6"/>
        <v>0.33333333333333343</v>
      </c>
      <c r="O106" s="138">
        <f>'MCC Data'!A62</f>
        <v>0.33333333333333343</v>
      </c>
      <c r="P106" s="237">
        <f>'MCC Data'!Y62</f>
        <v>362</v>
      </c>
      <c r="Q106" s="237">
        <f>P106-'MCC Data'!X62</f>
        <v>318</v>
      </c>
      <c r="R106" s="237">
        <f>P106-'MCC Data'!X62-'MCC Data'!W62</f>
        <v>318</v>
      </c>
      <c r="S106" s="140">
        <f>SUM('PCU Data'!B64:C64)</f>
        <v>338.20000000000005</v>
      </c>
      <c r="T106" s="140">
        <f>S106-'MCC Data'!X62*'PCU Data'!$T$14</f>
        <v>329.40000000000003</v>
      </c>
      <c r="U106" s="140">
        <f>S106-'MCC Data'!X62*'PCU Data'!$T$14-'MCC Data'!W62*'PCU Data'!$S$14</f>
        <v>329.40000000000003</v>
      </c>
      <c r="V106" s="140">
        <f t="shared" si="7"/>
        <v>362</v>
      </c>
      <c r="W106" s="138">
        <f t="shared" si="8"/>
        <v>0.33333333333333343</v>
      </c>
    </row>
    <row r="107" spans="5:23" ht="12.75" customHeight="1" x14ac:dyDescent="0.2">
      <c r="E107" s="138">
        <f>'MCC Data'!A14</f>
        <v>0.34375000000000011</v>
      </c>
      <c r="F107" s="237">
        <f>'MCC Data'!Y14</f>
        <v>95</v>
      </c>
      <c r="G107" s="237">
        <f>F107-'MCC Data'!X14</f>
        <v>87</v>
      </c>
      <c r="H107" s="237">
        <f>F107-'MCC Data'!X14-'MCC Data'!W14</f>
        <v>87</v>
      </c>
      <c r="I107" s="140">
        <f>SUM('PCU Data'!B16:C16)</f>
        <v>91</v>
      </c>
      <c r="J107" s="140">
        <f>I107-'MCC Data'!X14*'PCU Data'!$T$14</f>
        <v>89.4</v>
      </c>
      <c r="K107" s="140">
        <f>I107-'MCC Data'!X14*'PCU Data'!$T$14-'MCC Data'!W14*'PCU Data'!$S$14</f>
        <v>89.4</v>
      </c>
      <c r="L107" s="140">
        <f t="shared" si="5"/>
        <v>95</v>
      </c>
      <c r="M107" s="138">
        <f t="shared" si="6"/>
        <v>0.34375000000000011</v>
      </c>
      <c r="O107" s="138">
        <f>'MCC Data'!A63</f>
        <v>0.34375000000000011</v>
      </c>
      <c r="P107" s="237">
        <f>'MCC Data'!Y63</f>
        <v>369</v>
      </c>
      <c r="Q107" s="237">
        <f>P107-'MCC Data'!X63</f>
        <v>328</v>
      </c>
      <c r="R107" s="237">
        <f>P107-'MCC Data'!X63-'MCC Data'!W63</f>
        <v>328</v>
      </c>
      <c r="S107" s="140">
        <f>SUM('PCU Data'!B65:C65)</f>
        <v>349.1</v>
      </c>
      <c r="T107" s="140">
        <f>S107-'MCC Data'!X63*'PCU Data'!$T$14</f>
        <v>340.90000000000003</v>
      </c>
      <c r="U107" s="140">
        <f>S107-'MCC Data'!X63*'PCU Data'!$T$14-'MCC Data'!W63*'PCU Data'!$S$14</f>
        <v>340.90000000000003</v>
      </c>
      <c r="V107" s="140">
        <f t="shared" si="7"/>
        <v>369</v>
      </c>
      <c r="W107" s="138">
        <f t="shared" si="8"/>
        <v>0.34375000000000011</v>
      </c>
    </row>
    <row r="108" spans="5:23" x14ac:dyDescent="0.2">
      <c r="E108" s="138">
        <f>'MCC Data'!A15</f>
        <v>0.3541666666666668</v>
      </c>
      <c r="F108" s="237">
        <f>'MCC Data'!Y15</f>
        <v>96</v>
      </c>
      <c r="G108" s="237">
        <f>F108-'MCC Data'!X15</f>
        <v>81</v>
      </c>
      <c r="H108" s="237">
        <f>F108-'MCC Data'!X15-'MCC Data'!W15</f>
        <v>81</v>
      </c>
      <c r="I108" s="140">
        <f>SUM('PCU Data'!B17:C17)</f>
        <v>86.4</v>
      </c>
      <c r="J108" s="140">
        <f>I108-'MCC Data'!X15*'PCU Data'!$T$14</f>
        <v>83.4</v>
      </c>
      <c r="K108" s="140">
        <f>I108-'MCC Data'!X15*'PCU Data'!$T$14-'MCC Data'!W15*'PCU Data'!$S$14</f>
        <v>83.4</v>
      </c>
      <c r="L108" s="140">
        <f t="shared" si="5"/>
        <v>96</v>
      </c>
      <c r="M108" s="138">
        <f t="shared" si="6"/>
        <v>0.3541666666666668</v>
      </c>
      <c r="O108" s="138">
        <f>'MCC Data'!A64</f>
        <v>0.3541666666666668</v>
      </c>
      <c r="P108" s="237">
        <f>'MCC Data'!Y64</f>
        <v>345</v>
      </c>
      <c r="Q108" s="237">
        <f>P108-'MCC Data'!X64</f>
        <v>307</v>
      </c>
      <c r="R108" s="237">
        <f>P108-'MCC Data'!X64-'MCC Data'!W64</f>
        <v>306</v>
      </c>
      <c r="S108" s="140">
        <f>SUM('PCU Data'!B66:C66)</f>
        <v>328.4</v>
      </c>
      <c r="T108" s="140">
        <f>S108-'MCC Data'!X64*'PCU Data'!$T$14</f>
        <v>320.79999999999995</v>
      </c>
      <c r="U108" s="140">
        <f>S108-'MCC Data'!X64*'PCU Data'!$T$14-'MCC Data'!W64*'PCU Data'!$S$14</f>
        <v>320.39999999999998</v>
      </c>
      <c r="V108" s="140">
        <f t="shared" si="7"/>
        <v>345</v>
      </c>
      <c r="W108" s="138">
        <f t="shared" si="8"/>
        <v>0.3541666666666668</v>
      </c>
    </row>
    <row r="109" spans="5:23" x14ac:dyDescent="0.2">
      <c r="E109" s="138">
        <f>'MCC Data'!A16</f>
        <v>0.36458333333333348</v>
      </c>
      <c r="F109" s="237">
        <f>'MCC Data'!Y16</f>
        <v>78</v>
      </c>
      <c r="G109" s="237">
        <f>F109-'MCC Data'!X16</f>
        <v>69</v>
      </c>
      <c r="H109" s="237">
        <f>F109-'MCC Data'!X16-'MCC Data'!W16</f>
        <v>69</v>
      </c>
      <c r="I109" s="140">
        <f>SUM('PCU Data'!B18:C18)</f>
        <v>73.2</v>
      </c>
      <c r="J109" s="140">
        <f>I109-'MCC Data'!X16*'PCU Data'!$T$14</f>
        <v>71.400000000000006</v>
      </c>
      <c r="K109" s="140">
        <f>I109-'MCC Data'!X16*'PCU Data'!$T$14-'MCC Data'!W16*'PCU Data'!$S$14</f>
        <v>71.400000000000006</v>
      </c>
      <c r="L109" s="140">
        <f t="shared" si="5"/>
        <v>78</v>
      </c>
      <c r="M109" s="138">
        <f t="shared" si="6"/>
        <v>0.36458333333333348</v>
      </c>
      <c r="O109" s="138">
        <f>'MCC Data'!A65</f>
        <v>0.36458333333333348</v>
      </c>
      <c r="P109" s="237">
        <f>'MCC Data'!Y65</f>
        <v>326</v>
      </c>
      <c r="Q109" s="237">
        <f>P109-'MCC Data'!X65</f>
        <v>299</v>
      </c>
      <c r="R109" s="237">
        <f>P109-'MCC Data'!X65-'MCC Data'!W65</f>
        <v>296</v>
      </c>
      <c r="S109" s="140">
        <f>SUM('PCU Data'!B67:C67)</f>
        <v>315.5</v>
      </c>
      <c r="T109" s="140">
        <f>S109-'MCC Data'!X65*'PCU Data'!$T$14</f>
        <v>310.10000000000002</v>
      </c>
      <c r="U109" s="140">
        <f>S109-'MCC Data'!X65*'PCU Data'!$T$14-'MCC Data'!W65*'PCU Data'!$S$14</f>
        <v>308.90000000000003</v>
      </c>
      <c r="V109" s="140">
        <f t="shared" si="7"/>
        <v>326</v>
      </c>
      <c r="W109" s="138">
        <f t="shared" si="8"/>
        <v>0.36458333333333348</v>
      </c>
    </row>
    <row r="110" spans="5:23" x14ac:dyDescent="0.2">
      <c r="E110" s="138">
        <f>'MCC Data'!A17</f>
        <v>0.37500000000000017</v>
      </c>
      <c r="F110" s="237">
        <f>'MCC Data'!Y17</f>
        <v>100</v>
      </c>
      <c r="G110" s="237">
        <f>F110-'MCC Data'!X17</f>
        <v>91</v>
      </c>
      <c r="H110" s="237">
        <f>F110-'MCC Data'!X17-'MCC Data'!W17</f>
        <v>91</v>
      </c>
      <c r="I110" s="140">
        <f>SUM('PCU Data'!B19:C19)</f>
        <v>98.5</v>
      </c>
      <c r="J110" s="140">
        <f>I110-'MCC Data'!X17*'PCU Data'!$T$14</f>
        <v>96.7</v>
      </c>
      <c r="K110" s="140">
        <f>I110-'MCC Data'!X17*'PCU Data'!$T$14-'MCC Data'!W17*'PCU Data'!$S$14</f>
        <v>96.7</v>
      </c>
      <c r="L110" s="140">
        <f t="shared" si="5"/>
        <v>100</v>
      </c>
      <c r="M110" s="138">
        <f t="shared" si="6"/>
        <v>0.37500000000000017</v>
      </c>
      <c r="O110" s="138">
        <f>'MCC Data'!A66</f>
        <v>0.37500000000000017</v>
      </c>
      <c r="P110" s="237">
        <f>'MCC Data'!Y66</f>
        <v>325</v>
      </c>
      <c r="Q110" s="237">
        <f>P110-'MCC Data'!X66</f>
        <v>304</v>
      </c>
      <c r="R110" s="237">
        <f>P110-'MCC Data'!X66-'MCC Data'!W66</f>
        <v>301</v>
      </c>
      <c r="S110" s="140">
        <f>SUM('PCU Data'!B68:C68)</f>
        <v>318.7</v>
      </c>
      <c r="T110" s="140">
        <f>S110-'MCC Data'!X66*'PCU Data'!$T$14</f>
        <v>314.5</v>
      </c>
      <c r="U110" s="140">
        <f>S110-'MCC Data'!X66*'PCU Data'!$T$14-'MCC Data'!W66*'PCU Data'!$S$14</f>
        <v>313.3</v>
      </c>
      <c r="V110" s="140">
        <f t="shared" si="7"/>
        <v>325</v>
      </c>
      <c r="W110" s="138">
        <f t="shared" si="8"/>
        <v>0.37500000000000017</v>
      </c>
    </row>
    <row r="111" spans="5:23" x14ac:dyDescent="0.2">
      <c r="E111" s="138">
        <f>'MCC Data'!A18</f>
        <v>0.38541666666666685</v>
      </c>
      <c r="F111" s="237">
        <f>'MCC Data'!Y18</f>
        <v>71</v>
      </c>
      <c r="G111" s="237">
        <f>F111-'MCC Data'!X18</f>
        <v>66</v>
      </c>
      <c r="H111" s="237">
        <f>F111-'MCC Data'!X18-'MCC Data'!W18</f>
        <v>65</v>
      </c>
      <c r="I111" s="140">
        <f>SUM('PCU Data'!B20:C20)</f>
        <v>70.3</v>
      </c>
      <c r="J111" s="140">
        <f>I111-'MCC Data'!X18*'PCU Data'!$T$14</f>
        <v>69.3</v>
      </c>
      <c r="K111" s="140">
        <f>I111-'MCC Data'!X18*'PCU Data'!$T$14-'MCC Data'!W18*'PCU Data'!$S$14</f>
        <v>68.899999999999991</v>
      </c>
      <c r="L111" s="140">
        <f t="shared" si="5"/>
        <v>71</v>
      </c>
      <c r="M111" s="138">
        <f t="shared" si="6"/>
        <v>0.38541666666666685</v>
      </c>
      <c r="O111" s="138">
        <f>'MCC Data'!A67</f>
        <v>0.38541666666666685</v>
      </c>
      <c r="P111" s="237">
        <f>'MCC Data'!Y67</f>
        <v>299</v>
      </c>
      <c r="Q111" s="237">
        <f>P111-'MCC Data'!X67</f>
        <v>283</v>
      </c>
      <c r="R111" s="237">
        <f>P111-'MCC Data'!X67-'MCC Data'!W67</f>
        <v>280</v>
      </c>
      <c r="S111" s="140">
        <f>SUM('PCU Data'!B69:C69)</f>
        <v>297.29999999999995</v>
      </c>
      <c r="T111" s="140">
        <f>S111-'MCC Data'!X67*'PCU Data'!$T$14</f>
        <v>294.09999999999997</v>
      </c>
      <c r="U111" s="140">
        <f>S111-'MCC Data'!X67*'PCU Data'!$T$14-'MCC Data'!W67*'PCU Data'!$S$14</f>
        <v>292.89999999999998</v>
      </c>
      <c r="V111" s="140">
        <f t="shared" si="7"/>
        <v>299</v>
      </c>
      <c r="W111" s="138">
        <f t="shared" si="8"/>
        <v>0.38541666666666685</v>
      </c>
    </row>
    <row r="112" spans="5:23" x14ac:dyDescent="0.2">
      <c r="E112" s="138">
        <f>'MCC Data'!A19</f>
        <v>0.39583333333333354</v>
      </c>
      <c r="F112" s="237">
        <f>'MCC Data'!Y19</f>
        <v>77</v>
      </c>
      <c r="G112" s="237">
        <f>F112-'MCC Data'!X19</f>
        <v>73</v>
      </c>
      <c r="H112" s="237">
        <f>F112-'MCC Data'!X19-'MCC Data'!W19</f>
        <v>71</v>
      </c>
      <c r="I112" s="140">
        <f>SUM('PCU Data'!B21:C21)</f>
        <v>73.5</v>
      </c>
      <c r="J112" s="140">
        <f>I112-'MCC Data'!X19*'PCU Data'!$T$14</f>
        <v>72.7</v>
      </c>
      <c r="K112" s="140">
        <f>I112-'MCC Data'!X19*'PCU Data'!$T$14-'MCC Data'!W19*'PCU Data'!$S$14</f>
        <v>71.900000000000006</v>
      </c>
      <c r="L112" s="140">
        <f t="shared" si="5"/>
        <v>77</v>
      </c>
      <c r="M112" s="138">
        <f t="shared" si="6"/>
        <v>0.39583333333333354</v>
      </c>
      <c r="O112" s="138">
        <f>'MCC Data'!A68</f>
        <v>0.39583333333333354</v>
      </c>
      <c r="P112" s="237">
        <f>'MCC Data'!Y68</f>
        <v>299</v>
      </c>
      <c r="Q112" s="237">
        <f>P112-'MCC Data'!X68</f>
        <v>280</v>
      </c>
      <c r="R112" s="237">
        <f>P112-'MCC Data'!X68-'MCC Data'!W68</f>
        <v>277</v>
      </c>
      <c r="S112" s="140">
        <f>SUM('PCU Data'!B70:C70)</f>
        <v>292.5</v>
      </c>
      <c r="T112" s="140">
        <f>S112-'MCC Data'!X68*'PCU Data'!$T$14</f>
        <v>288.7</v>
      </c>
      <c r="U112" s="140">
        <f>S112-'MCC Data'!X68*'PCU Data'!$T$14-'MCC Data'!W68*'PCU Data'!$S$14</f>
        <v>287.5</v>
      </c>
      <c r="V112" s="140">
        <f t="shared" si="7"/>
        <v>299</v>
      </c>
      <c r="W112" s="138">
        <f t="shared" si="8"/>
        <v>0.39583333333333354</v>
      </c>
    </row>
    <row r="113" spans="5:23" x14ac:dyDescent="0.2">
      <c r="E113" s="138">
        <f>'MCC Data'!A20</f>
        <v>0.40625000000000022</v>
      </c>
      <c r="F113" s="237">
        <f>'MCC Data'!Y20</f>
        <v>77</v>
      </c>
      <c r="G113" s="237">
        <f>F113-'MCC Data'!X20</f>
        <v>74</v>
      </c>
      <c r="H113" s="237">
        <f>F113-'MCC Data'!X20-'MCC Data'!W20</f>
        <v>74</v>
      </c>
      <c r="I113" s="140">
        <f>SUM('PCU Data'!B22:C22)</f>
        <v>76.399999999999991</v>
      </c>
      <c r="J113" s="140">
        <f>I113-'MCC Data'!X20*'PCU Data'!$T$14</f>
        <v>75.8</v>
      </c>
      <c r="K113" s="140">
        <f>I113-'MCC Data'!X20*'PCU Data'!$T$14-'MCC Data'!W20*'PCU Data'!$S$14</f>
        <v>75.8</v>
      </c>
      <c r="L113" s="140">
        <f t="shared" si="5"/>
        <v>77</v>
      </c>
      <c r="M113" s="138">
        <f t="shared" si="6"/>
        <v>0.40625000000000022</v>
      </c>
      <c r="O113" s="138">
        <f>'MCC Data'!A69</f>
        <v>0.40625000000000022</v>
      </c>
      <c r="P113" s="237">
        <f>'MCC Data'!Y69</f>
        <v>302</v>
      </c>
      <c r="Q113" s="237">
        <f>P113-'MCC Data'!X69</f>
        <v>279</v>
      </c>
      <c r="R113" s="237">
        <f>P113-'MCC Data'!X69-'MCC Data'!W69</f>
        <v>277</v>
      </c>
      <c r="S113" s="140">
        <f>SUM('PCU Data'!B71:C71)</f>
        <v>294.39999999999998</v>
      </c>
      <c r="T113" s="140">
        <f>S113-'MCC Data'!X69*'PCU Data'!$T$14</f>
        <v>289.79999999999995</v>
      </c>
      <c r="U113" s="140">
        <f>S113-'MCC Data'!X69*'PCU Data'!$T$14-'MCC Data'!W69*'PCU Data'!$S$14</f>
        <v>288.99999999999994</v>
      </c>
      <c r="V113" s="140">
        <f t="shared" si="7"/>
        <v>302</v>
      </c>
      <c r="W113" s="138">
        <f t="shared" si="8"/>
        <v>0.40625000000000022</v>
      </c>
    </row>
    <row r="114" spans="5:23" x14ac:dyDescent="0.2">
      <c r="E114" s="138">
        <f>'MCC Data'!A21</f>
        <v>0.41666666666666691</v>
      </c>
      <c r="F114" s="237">
        <f>'MCC Data'!Y21</f>
        <v>74</v>
      </c>
      <c r="G114" s="237">
        <f>F114-'MCC Data'!X21</f>
        <v>70</v>
      </c>
      <c r="H114" s="237">
        <f>F114-'MCC Data'!X21-'MCC Data'!W21</f>
        <v>70</v>
      </c>
      <c r="I114" s="140">
        <f>SUM('PCU Data'!B23:C23)</f>
        <v>77.099999999999994</v>
      </c>
      <c r="J114" s="140">
        <f>I114-'MCC Data'!X21*'PCU Data'!$T$14</f>
        <v>76.3</v>
      </c>
      <c r="K114" s="140">
        <f>I114-'MCC Data'!X21*'PCU Data'!$T$14-'MCC Data'!W21*'PCU Data'!$S$14</f>
        <v>76.3</v>
      </c>
      <c r="L114" s="140">
        <f t="shared" si="5"/>
        <v>74</v>
      </c>
      <c r="M114" s="138">
        <f t="shared" si="6"/>
        <v>0.41666666666666691</v>
      </c>
      <c r="O114" s="138">
        <f>'MCC Data'!A70</f>
        <v>0.41666666666666691</v>
      </c>
      <c r="P114" s="237">
        <f>'MCC Data'!Y70</f>
        <v>298</v>
      </c>
      <c r="Q114" s="237">
        <f>P114-'MCC Data'!X70</f>
        <v>272</v>
      </c>
      <c r="R114" s="237">
        <f>P114-'MCC Data'!X70-'MCC Data'!W70</f>
        <v>270</v>
      </c>
      <c r="S114" s="140">
        <f>SUM('PCU Data'!B72:C72)</f>
        <v>289.5</v>
      </c>
      <c r="T114" s="140">
        <f>S114-'MCC Data'!X70*'PCU Data'!$T$14</f>
        <v>284.3</v>
      </c>
      <c r="U114" s="140">
        <f>S114-'MCC Data'!X70*'PCU Data'!$T$14-'MCC Data'!W70*'PCU Data'!$S$14</f>
        <v>283.5</v>
      </c>
      <c r="V114" s="140">
        <f t="shared" si="7"/>
        <v>298</v>
      </c>
      <c r="W114" s="138">
        <f t="shared" si="8"/>
        <v>0.41666666666666691</v>
      </c>
    </row>
    <row r="115" spans="5:23" x14ac:dyDescent="0.2">
      <c r="E115" s="138">
        <f>'MCC Data'!A22</f>
        <v>0.42708333333333359</v>
      </c>
      <c r="F115" s="237">
        <f>'MCC Data'!Y22</f>
        <v>71</v>
      </c>
      <c r="G115" s="237">
        <f>F115-'MCC Data'!X22</f>
        <v>63</v>
      </c>
      <c r="H115" s="237">
        <f>F115-'MCC Data'!X22-'MCC Data'!W22</f>
        <v>62</v>
      </c>
      <c r="I115" s="140">
        <f>SUM('PCU Data'!B24:C24)</f>
        <v>65.5</v>
      </c>
      <c r="J115" s="140">
        <f>I115-'MCC Data'!X22*'PCU Data'!$T$14</f>
        <v>63.9</v>
      </c>
      <c r="K115" s="140">
        <f>I115-'MCC Data'!X22*'PCU Data'!$T$14-'MCC Data'!W22*'PCU Data'!$S$14</f>
        <v>63.5</v>
      </c>
      <c r="L115" s="140">
        <f t="shared" si="5"/>
        <v>71</v>
      </c>
      <c r="M115" s="138">
        <f t="shared" si="6"/>
        <v>0.42708333333333359</v>
      </c>
      <c r="O115" s="138">
        <f>'MCC Data'!A71</f>
        <v>0.42708333333333359</v>
      </c>
      <c r="P115" s="237">
        <f>'MCC Data'!Y71</f>
        <v>293</v>
      </c>
      <c r="Q115" s="237">
        <f>P115-'MCC Data'!X71</f>
        <v>267</v>
      </c>
      <c r="R115" s="237">
        <f>P115-'MCC Data'!X71-'MCC Data'!W71</f>
        <v>265</v>
      </c>
      <c r="S115" s="140">
        <f>SUM('PCU Data'!B73:C73)</f>
        <v>281.2</v>
      </c>
      <c r="T115" s="140">
        <f>S115-'MCC Data'!X71*'PCU Data'!$T$14</f>
        <v>276</v>
      </c>
      <c r="U115" s="140">
        <f>S115-'MCC Data'!X71*'PCU Data'!$T$14-'MCC Data'!W71*'PCU Data'!$S$14</f>
        <v>275.2</v>
      </c>
      <c r="V115" s="140">
        <f t="shared" si="7"/>
        <v>293</v>
      </c>
      <c r="W115" s="138">
        <f t="shared" si="8"/>
        <v>0.42708333333333359</v>
      </c>
    </row>
    <row r="116" spans="5:23" ht="12.75" customHeight="1" x14ac:dyDescent="0.2">
      <c r="E116" s="138">
        <f>'MCC Data'!A23</f>
        <v>0.43750000000000028</v>
      </c>
      <c r="F116" s="237">
        <f>'MCC Data'!Y23</f>
        <v>80</v>
      </c>
      <c r="G116" s="237">
        <f>F116-'MCC Data'!X23</f>
        <v>72</v>
      </c>
      <c r="H116" s="237">
        <f>F116-'MCC Data'!X23-'MCC Data'!W23</f>
        <v>71</v>
      </c>
      <c r="I116" s="140">
        <f>SUM('PCU Data'!B25:C25)</f>
        <v>75.399999999999991</v>
      </c>
      <c r="J116" s="140">
        <f>I116-'MCC Data'!X23*'PCU Data'!$T$14</f>
        <v>73.8</v>
      </c>
      <c r="K116" s="140">
        <f>I116-'MCC Data'!X23*'PCU Data'!$T$14-'MCC Data'!W23*'PCU Data'!$S$14</f>
        <v>73.399999999999991</v>
      </c>
      <c r="L116" s="140">
        <f t="shared" si="5"/>
        <v>80</v>
      </c>
      <c r="M116" s="138">
        <f t="shared" si="6"/>
        <v>0.43750000000000028</v>
      </c>
      <c r="O116" s="138">
        <f>'MCC Data'!A72</f>
        <v>0.43750000000000028</v>
      </c>
      <c r="P116" s="237">
        <f>'MCC Data'!Y72</f>
        <v>290</v>
      </c>
      <c r="Q116" s="237">
        <f>P116-'MCC Data'!X72</f>
        <v>267</v>
      </c>
      <c r="R116" s="237">
        <f>P116-'MCC Data'!X72-'MCC Data'!W72</f>
        <v>266</v>
      </c>
      <c r="S116" s="140">
        <f>SUM('PCU Data'!B74:C74)</f>
        <v>283</v>
      </c>
      <c r="T116" s="140">
        <f>S116-'MCC Data'!X72*'PCU Data'!$T$14</f>
        <v>278.39999999999998</v>
      </c>
      <c r="U116" s="140">
        <f>S116-'MCC Data'!X72*'PCU Data'!$T$14-'MCC Data'!W72*'PCU Data'!$S$14</f>
        <v>278</v>
      </c>
      <c r="V116" s="140">
        <f t="shared" si="7"/>
        <v>290</v>
      </c>
      <c r="W116" s="138">
        <f t="shared" si="8"/>
        <v>0.43750000000000028</v>
      </c>
    </row>
    <row r="117" spans="5:23" x14ac:dyDescent="0.2">
      <c r="E117" s="138">
        <f>'MCC Data'!A24</f>
        <v>0.44791666666666696</v>
      </c>
      <c r="F117" s="237">
        <f>'MCC Data'!Y24</f>
        <v>73</v>
      </c>
      <c r="G117" s="237">
        <f>F117-'MCC Data'!X24</f>
        <v>67</v>
      </c>
      <c r="H117" s="237">
        <f>F117-'MCC Data'!X24-'MCC Data'!W24</f>
        <v>67</v>
      </c>
      <c r="I117" s="140">
        <f>SUM('PCU Data'!B26:C26)</f>
        <v>71.5</v>
      </c>
      <c r="J117" s="140">
        <f>I117-'MCC Data'!X24*'PCU Data'!$T$14</f>
        <v>70.3</v>
      </c>
      <c r="K117" s="140">
        <f>I117-'MCC Data'!X24*'PCU Data'!$T$14-'MCC Data'!W24*'PCU Data'!$S$14</f>
        <v>70.3</v>
      </c>
      <c r="L117" s="140">
        <f t="shared" si="5"/>
        <v>73</v>
      </c>
      <c r="M117" s="138">
        <f t="shared" si="6"/>
        <v>0.44791666666666696</v>
      </c>
      <c r="O117" s="138">
        <f>'MCC Data'!A73</f>
        <v>0.44791666666666696</v>
      </c>
      <c r="P117" s="237">
        <f>'MCC Data'!Y73</f>
        <v>290</v>
      </c>
      <c r="Q117" s="237">
        <f>P117-'MCC Data'!X73</f>
        <v>273</v>
      </c>
      <c r="R117" s="237">
        <f>P117-'MCC Data'!X73-'MCC Data'!W73</f>
        <v>273</v>
      </c>
      <c r="S117" s="140">
        <f>SUM('PCU Data'!B75:C75)</f>
        <v>290.2</v>
      </c>
      <c r="T117" s="140">
        <f>S117-'MCC Data'!X73*'PCU Data'!$T$14</f>
        <v>286.8</v>
      </c>
      <c r="U117" s="140">
        <f>S117-'MCC Data'!X73*'PCU Data'!$T$14-'MCC Data'!W73*'PCU Data'!$S$14</f>
        <v>286.8</v>
      </c>
      <c r="V117" s="140">
        <f t="shared" si="7"/>
        <v>290</v>
      </c>
      <c r="W117" s="138">
        <f t="shared" si="8"/>
        <v>0.44791666666666696</v>
      </c>
    </row>
    <row r="118" spans="5:23" x14ac:dyDescent="0.2">
      <c r="E118" s="138">
        <f>'MCC Data'!A25</f>
        <v>0.45833333333333365</v>
      </c>
      <c r="F118" s="237">
        <f>'MCC Data'!Y25</f>
        <v>69</v>
      </c>
      <c r="G118" s="237">
        <f>F118-'MCC Data'!X25</f>
        <v>65</v>
      </c>
      <c r="H118" s="237">
        <f>F118-'MCC Data'!X25-'MCC Data'!W25</f>
        <v>65</v>
      </c>
      <c r="I118" s="140">
        <f>SUM('PCU Data'!B27:C27)</f>
        <v>68.8</v>
      </c>
      <c r="J118" s="140">
        <f>I118-'MCC Data'!X25*'PCU Data'!$T$14</f>
        <v>68</v>
      </c>
      <c r="K118" s="140">
        <f>I118-'MCC Data'!X25*'PCU Data'!$T$14-'MCC Data'!W25*'PCU Data'!$S$14</f>
        <v>68</v>
      </c>
      <c r="L118" s="140">
        <f t="shared" si="5"/>
        <v>69</v>
      </c>
      <c r="M118" s="138">
        <f t="shared" si="6"/>
        <v>0.45833333333333365</v>
      </c>
      <c r="O118" s="138">
        <f>'MCC Data'!A74</f>
        <v>0.45833333333333365</v>
      </c>
      <c r="P118" s="237">
        <f>'MCC Data'!Y74</f>
        <v>277</v>
      </c>
      <c r="Q118" s="237">
        <f>P118-'MCC Data'!X74</f>
        <v>262</v>
      </c>
      <c r="R118" s="237">
        <f>P118-'MCC Data'!X74-'MCC Data'!W74</f>
        <v>261</v>
      </c>
      <c r="S118" s="140">
        <f>SUM('PCU Data'!B76:C76)</f>
        <v>279.79999999999995</v>
      </c>
      <c r="T118" s="140">
        <f>S118-'MCC Data'!X74*'PCU Data'!$T$14</f>
        <v>276.79999999999995</v>
      </c>
      <c r="U118" s="140">
        <f>S118-'MCC Data'!X74*'PCU Data'!$T$14-'MCC Data'!W74*'PCU Data'!$S$14</f>
        <v>276.39999999999998</v>
      </c>
      <c r="V118" s="140">
        <f t="shared" si="7"/>
        <v>277</v>
      </c>
      <c r="W118" s="138">
        <f t="shared" si="8"/>
        <v>0.45833333333333365</v>
      </c>
    </row>
    <row r="119" spans="5:23" x14ac:dyDescent="0.2">
      <c r="E119" s="138">
        <f>'MCC Data'!A26</f>
        <v>0.46875000000000033</v>
      </c>
      <c r="F119" s="237">
        <f>'MCC Data'!Y26</f>
        <v>68</v>
      </c>
      <c r="G119" s="237">
        <f>F119-'MCC Data'!X26</f>
        <v>63</v>
      </c>
      <c r="H119" s="237">
        <f>F119-'MCC Data'!X26-'MCC Data'!W26</f>
        <v>63</v>
      </c>
      <c r="I119" s="140">
        <f>SUM('PCU Data'!B28:C28)</f>
        <v>67.3</v>
      </c>
      <c r="J119" s="140">
        <f>I119-'MCC Data'!X26*'PCU Data'!$T$14</f>
        <v>66.3</v>
      </c>
      <c r="K119" s="140">
        <f>I119-'MCC Data'!X26*'PCU Data'!$T$14-'MCC Data'!W26*'PCU Data'!$S$14</f>
        <v>66.3</v>
      </c>
      <c r="L119" s="140">
        <f t="shared" si="5"/>
        <v>68</v>
      </c>
      <c r="M119" s="138">
        <f t="shared" si="6"/>
        <v>0.46875000000000033</v>
      </c>
      <c r="O119" s="138">
        <f>'MCC Data'!A75</f>
        <v>0.46875000000000033</v>
      </c>
      <c r="P119" s="237">
        <f>'MCC Data'!Y75</f>
        <v>288</v>
      </c>
      <c r="Q119" s="237">
        <f>P119-'MCC Data'!X75</f>
        <v>273</v>
      </c>
      <c r="R119" s="237">
        <f>P119-'MCC Data'!X75-'MCC Data'!W75</f>
        <v>272</v>
      </c>
      <c r="S119" s="140">
        <f>SUM('PCU Data'!B77:C77)</f>
        <v>293</v>
      </c>
      <c r="T119" s="140">
        <f>S119-'MCC Data'!X75*'PCU Data'!$T$14</f>
        <v>290</v>
      </c>
      <c r="U119" s="140">
        <f>S119-'MCC Data'!X75*'PCU Data'!$T$14-'MCC Data'!W75*'PCU Data'!$S$14</f>
        <v>289.60000000000002</v>
      </c>
      <c r="V119" s="140">
        <f t="shared" si="7"/>
        <v>288</v>
      </c>
      <c r="W119" s="138">
        <f t="shared" si="8"/>
        <v>0.46875000000000033</v>
      </c>
    </row>
    <row r="120" spans="5:23" x14ac:dyDescent="0.2">
      <c r="E120" s="138">
        <f>'MCC Data'!A27</f>
        <v>0.47916666666666702</v>
      </c>
      <c r="F120" s="237">
        <f>'MCC Data'!Y27</f>
        <v>80</v>
      </c>
      <c r="G120" s="237">
        <f>F120-'MCC Data'!X27</f>
        <v>78</v>
      </c>
      <c r="H120" s="237">
        <f>F120-'MCC Data'!X27-'MCC Data'!W27</f>
        <v>78</v>
      </c>
      <c r="I120" s="140">
        <f>SUM('PCU Data'!B29:C29)</f>
        <v>82.6</v>
      </c>
      <c r="J120" s="140">
        <f>I120-'MCC Data'!X27*'PCU Data'!$T$14</f>
        <v>82.199999999999989</v>
      </c>
      <c r="K120" s="140">
        <f>I120-'MCC Data'!X27*'PCU Data'!$T$14-'MCC Data'!W27*'PCU Data'!$S$14</f>
        <v>82.199999999999989</v>
      </c>
      <c r="L120" s="140">
        <f t="shared" si="5"/>
        <v>80</v>
      </c>
      <c r="M120" s="138">
        <f t="shared" si="6"/>
        <v>0.47916666666666702</v>
      </c>
      <c r="O120" s="138">
        <f>'MCC Data'!A76</f>
        <v>0.47916666666666702</v>
      </c>
      <c r="P120" s="237">
        <f>'MCC Data'!Y76</f>
        <v>290</v>
      </c>
      <c r="Q120" s="237">
        <f>P120-'MCC Data'!X76</f>
        <v>279</v>
      </c>
      <c r="R120" s="237">
        <f>P120-'MCC Data'!X76-'MCC Data'!W76</f>
        <v>277</v>
      </c>
      <c r="S120" s="140">
        <f>SUM('PCU Data'!B78:C78)</f>
        <v>297.3</v>
      </c>
      <c r="T120" s="140">
        <f>S120-'MCC Data'!X76*'PCU Data'!$T$14</f>
        <v>295.10000000000002</v>
      </c>
      <c r="U120" s="140">
        <f>S120-'MCC Data'!X76*'PCU Data'!$T$14-'MCC Data'!W76*'PCU Data'!$S$14</f>
        <v>294.3</v>
      </c>
      <c r="V120" s="140">
        <f t="shared" si="7"/>
        <v>290</v>
      </c>
      <c r="W120" s="138">
        <f t="shared" si="8"/>
        <v>0.47916666666666702</v>
      </c>
    </row>
    <row r="121" spans="5:23" x14ac:dyDescent="0.2">
      <c r="E121" s="138">
        <f>'MCC Data'!A28</f>
        <v>0.4895833333333337</v>
      </c>
      <c r="F121" s="237">
        <f>'MCC Data'!Y28</f>
        <v>60</v>
      </c>
      <c r="G121" s="237">
        <f>F121-'MCC Data'!X28</f>
        <v>56</v>
      </c>
      <c r="H121" s="237">
        <f>F121-'MCC Data'!X28-'MCC Data'!W28</f>
        <v>55</v>
      </c>
      <c r="I121" s="140">
        <f>SUM('PCU Data'!B30:C30)</f>
        <v>61.099999999999994</v>
      </c>
      <c r="J121" s="140">
        <f>I121-'MCC Data'!X28*'PCU Data'!$T$14</f>
        <v>60.3</v>
      </c>
      <c r="K121" s="140">
        <f>I121-'MCC Data'!X28*'PCU Data'!$T$14-'MCC Data'!W28*'PCU Data'!$S$14</f>
        <v>59.9</v>
      </c>
      <c r="L121" s="140">
        <f t="shared" si="5"/>
        <v>60</v>
      </c>
      <c r="M121" s="138">
        <f t="shared" si="6"/>
        <v>0.4895833333333337</v>
      </c>
      <c r="O121" s="138">
        <f>'MCC Data'!A77</f>
        <v>0.4895833333333337</v>
      </c>
      <c r="P121" s="237">
        <f>'MCC Data'!Y77</f>
        <v>292</v>
      </c>
      <c r="Q121" s="237">
        <f>P121-'MCC Data'!X77</f>
        <v>282</v>
      </c>
      <c r="R121" s="237">
        <f>P121-'MCC Data'!X77-'MCC Data'!W77</f>
        <v>280</v>
      </c>
      <c r="S121" s="140">
        <f>SUM('PCU Data'!B79:C79)</f>
        <v>298.3</v>
      </c>
      <c r="T121" s="140">
        <f>S121-'MCC Data'!X77*'PCU Data'!$T$14</f>
        <v>296.3</v>
      </c>
      <c r="U121" s="140">
        <f>S121-'MCC Data'!X77*'PCU Data'!$T$14-'MCC Data'!W77*'PCU Data'!$S$14</f>
        <v>295.5</v>
      </c>
      <c r="V121" s="140">
        <f t="shared" si="7"/>
        <v>292</v>
      </c>
      <c r="W121" s="138">
        <f t="shared" si="8"/>
        <v>0.4895833333333337</v>
      </c>
    </row>
    <row r="122" spans="5:23" x14ac:dyDescent="0.2">
      <c r="E122" s="138">
        <f>'MCC Data'!A29</f>
        <v>0.50000000000000033</v>
      </c>
      <c r="F122" s="237">
        <f>'MCC Data'!Y29</f>
        <v>80</v>
      </c>
      <c r="G122" s="237">
        <f>F122-'MCC Data'!X29</f>
        <v>76</v>
      </c>
      <c r="H122" s="237">
        <f>F122-'MCC Data'!X29-'MCC Data'!W29</f>
        <v>76</v>
      </c>
      <c r="I122" s="140">
        <f>SUM('PCU Data'!B31:C31)</f>
        <v>82</v>
      </c>
      <c r="J122" s="140">
        <f>I122-'MCC Data'!X29*'PCU Data'!$T$14</f>
        <v>81.2</v>
      </c>
      <c r="K122" s="140">
        <f>I122-'MCC Data'!X29*'PCU Data'!$T$14-'MCC Data'!W29*'PCU Data'!$S$14</f>
        <v>81.2</v>
      </c>
      <c r="L122" s="140">
        <f t="shared" si="5"/>
        <v>80</v>
      </c>
      <c r="M122" s="138">
        <f t="shared" si="6"/>
        <v>0.50000000000000033</v>
      </c>
      <c r="O122" s="138">
        <f>'MCC Data'!A78</f>
        <v>0.50000000000000033</v>
      </c>
      <c r="P122" s="237">
        <f>'MCC Data'!Y78</f>
        <v>307</v>
      </c>
      <c r="Q122" s="237">
        <f>P122-'MCC Data'!X78</f>
        <v>294</v>
      </c>
      <c r="R122" s="237">
        <f>P122-'MCC Data'!X78-'MCC Data'!W78</f>
        <v>291</v>
      </c>
      <c r="S122" s="140">
        <f>SUM('PCU Data'!B80:C80)</f>
        <v>306.29999999999995</v>
      </c>
      <c r="T122" s="140">
        <f>S122-'MCC Data'!X78*'PCU Data'!$T$14</f>
        <v>303.69999999999993</v>
      </c>
      <c r="U122" s="140">
        <f>S122-'MCC Data'!X78*'PCU Data'!$T$14-'MCC Data'!W78*'PCU Data'!$S$14</f>
        <v>302.49999999999994</v>
      </c>
      <c r="V122" s="140">
        <f t="shared" si="7"/>
        <v>307</v>
      </c>
      <c r="W122" s="138">
        <f t="shared" si="8"/>
        <v>0.50000000000000033</v>
      </c>
    </row>
    <row r="123" spans="5:23" x14ac:dyDescent="0.2">
      <c r="E123" s="138">
        <f>'MCC Data'!A30</f>
        <v>0.51041666666666696</v>
      </c>
      <c r="F123" s="237">
        <f>'MCC Data'!Y30</f>
        <v>70</v>
      </c>
      <c r="G123" s="237">
        <f>F123-'MCC Data'!X30</f>
        <v>69</v>
      </c>
      <c r="H123" s="237">
        <f>F123-'MCC Data'!X30-'MCC Data'!W30</f>
        <v>68</v>
      </c>
      <c r="I123" s="140">
        <f>SUM('PCU Data'!B32:C32)</f>
        <v>71.599999999999994</v>
      </c>
      <c r="J123" s="140">
        <f>I123-'MCC Data'!X30*'PCU Data'!$T$14</f>
        <v>71.399999999999991</v>
      </c>
      <c r="K123" s="140">
        <f>I123-'MCC Data'!X30*'PCU Data'!$T$14-'MCC Data'!W30*'PCU Data'!$S$14</f>
        <v>70.999999999999986</v>
      </c>
      <c r="L123" s="140">
        <f t="shared" si="5"/>
        <v>70</v>
      </c>
      <c r="M123" s="138">
        <f t="shared" si="6"/>
        <v>0.51041666666666696</v>
      </c>
      <c r="O123" s="138">
        <f>'MCC Data'!A79</f>
        <v>0.51041666666666696</v>
      </c>
      <c r="P123" s="237">
        <f>'MCC Data'!Y79</f>
        <v>294</v>
      </c>
      <c r="Q123" s="237">
        <f>P123-'MCC Data'!X79</f>
        <v>284</v>
      </c>
      <c r="R123" s="237">
        <f>P123-'MCC Data'!X79-'MCC Data'!W79</f>
        <v>281</v>
      </c>
      <c r="S123" s="140">
        <f>SUM('PCU Data'!B81:C81)</f>
        <v>297.10000000000002</v>
      </c>
      <c r="T123" s="140">
        <f>S123-'MCC Data'!X79*'PCU Data'!$T$14</f>
        <v>295.10000000000002</v>
      </c>
      <c r="U123" s="140">
        <f>S123-'MCC Data'!X79*'PCU Data'!$T$14-'MCC Data'!W79*'PCU Data'!$S$14</f>
        <v>293.90000000000003</v>
      </c>
      <c r="V123" s="140">
        <f t="shared" si="7"/>
        <v>294</v>
      </c>
      <c r="W123" s="138">
        <f t="shared" si="8"/>
        <v>0.51041666666666696</v>
      </c>
    </row>
    <row r="124" spans="5:23" x14ac:dyDescent="0.2">
      <c r="E124" s="138">
        <f>'MCC Data'!A31</f>
        <v>0.52083333333333359</v>
      </c>
      <c r="F124" s="237">
        <f>'MCC Data'!Y31</f>
        <v>82</v>
      </c>
      <c r="G124" s="237">
        <f>F124-'MCC Data'!X31</f>
        <v>81</v>
      </c>
      <c r="H124" s="237">
        <f>F124-'MCC Data'!X31-'MCC Data'!W31</f>
        <v>81</v>
      </c>
      <c r="I124" s="140">
        <f>SUM('PCU Data'!B33:C33)</f>
        <v>83.6</v>
      </c>
      <c r="J124" s="140">
        <f>I124-'MCC Data'!X31*'PCU Data'!$T$14</f>
        <v>83.399999999999991</v>
      </c>
      <c r="K124" s="140">
        <f>I124-'MCC Data'!X31*'PCU Data'!$T$14-'MCC Data'!W31*'PCU Data'!$S$14</f>
        <v>83.399999999999991</v>
      </c>
      <c r="L124" s="140">
        <f t="shared" si="5"/>
        <v>82</v>
      </c>
      <c r="M124" s="138">
        <f t="shared" si="6"/>
        <v>0.52083333333333359</v>
      </c>
      <c r="O124" s="138">
        <f>'MCC Data'!A80</f>
        <v>0.52083333333333359</v>
      </c>
      <c r="P124" s="237">
        <f>'MCC Data'!Y80</f>
        <v>331</v>
      </c>
      <c r="Q124" s="237">
        <f>P124-'MCC Data'!X80</f>
        <v>316</v>
      </c>
      <c r="R124" s="237">
        <f>P124-'MCC Data'!X80-'MCC Data'!W80</f>
        <v>313</v>
      </c>
      <c r="S124" s="140">
        <f>SUM('PCU Data'!B82:C82)</f>
        <v>331.29999999999995</v>
      </c>
      <c r="T124" s="140">
        <f>S124-'MCC Data'!X80*'PCU Data'!$T$14</f>
        <v>328.29999999999995</v>
      </c>
      <c r="U124" s="140">
        <f>S124-'MCC Data'!X80*'PCU Data'!$T$14-'MCC Data'!W80*'PCU Data'!$S$14</f>
        <v>327.09999999999997</v>
      </c>
      <c r="V124" s="140">
        <f t="shared" si="7"/>
        <v>331</v>
      </c>
      <c r="W124" s="138">
        <f t="shared" si="8"/>
        <v>0.52083333333333359</v>
      </c>
    </row>
    <row r="125" spans="5:23" ht="12.75" customHeight="1" x14ac:dyDescent="0.2">
      <c r="E125" s="138">
        <f>'MCC Data'!A32</f>
        <v>0.53125000000000022</v>
      </c>
      <c r="F125" s="237">
        <f>'MCC Data'!Y32</f>
        <v>75</v>
      </c>
      <c r="G125" s="237">
        <f>F125-'MCC Data'!X32</f>
        <v>68</v>
      </c>
      <c r="H125" s="237">
        <f>F125-'MCC Data'!X32-'MCC Data'!W32</f>
        <v>66</v>
      </c>
      <c r="I125" s="140">
        <f>SUM('PCU Data'!B34:C34)</f>
        <v>69.099999999999994</v>
      </c>
      <c r="J125" s="140">
        <f>I125-'MCC Data'!X32*'PCU Data'!$T$14</f>
        <v>67.699999999999989</v>
      </c>
      <c r="K125" s="140">
        <f>I125-'MCC Data'!X32*'PCU Data'!$T$14-'MCC Data'!W32*'PCU Data'!$S$14</f>
        <v>66.899999999999991</v>
      </c>
      <c r="L125" s="140">
        <f t="shared" si="5"/>
        <v>75</v>
      </c>
      <c r="M125" s="138">
        <f t="shared" si="6"/>
        <v>0.53125000000000022</v>
      </c>
      <c r="O125" s="138">
        <f>'MCC Data'!A81</f>
        <v>0.53125000000000022</v>
      </c>
      <c r="P125" s="237">
        <f>'MCC Data'!Y81</f>
        <v>346</v>
      </c>
      <c r="Q125" s="237">
        <f>P125-'MCC Data'!X81</f>
        <v>329</v>
      </c>
      <c r="R125" s="237">
        <f>P125-'MCC Data'!X81-'MCC Data'!W81</f>
        <v>326</v>
      </c>
      <c r="S125" s="140">
        <f>SUM('PCU Data'!B83:C83)</f>
        <v>349.29999999999995</v>
      </c>
      <c r="T125" s="140">
        <f>S125-'MCC Data'!X81*'PCU Data'!$T$14</f>
        <v>345.9</v>
      </c>
      <c r="U125" s="140">
        <f>S125-'MCC Data'!X81*'PCU Data'!$T$14-'MCC Data'!W81*'PCU Data'!$S$14</f>
        <v>344.7</v>
      </c>
      <c r="V125" s="140">
        <f t="shared" si="7"/>
        <v>346</v>
      </c>
      <c r="W125" s="138">
        <f t="shared" si="8"/>
        <v>0.53125000000000022</v>
      </c>
    </row>
    <row r="126" spans="5:23" x14ac:dyDescent="0.2">
      <c r="E126" s="138">
        <f>'MCC Data'!A33</f>
        <v>0.54166666666666685</v>
      </c>
      <c r="F126" s="237">
        <f>'MCC Data'!Y33</f>
        <v>67</v>
      </c>
      <c r="G126" s="237">
        <f>F126-'MCC Data'!X33</f>
        <v>66</v>
      </c>
      <c r="H126" s="237">
        <f>F126-'MCC Data'!X33-'MCC Data'!W33</f>
        <v>66</v>
      </c>
      <c r="I126" s="140">
        <f>SUM('PCU Data'!B35:C35)</f>
        <v>72.8</v>
      </c>
      <c r="J126" s="140">
        <f>I126-'MCC Data'!X33*'PCU Data'!$T$14</f>
        <v>72.599999999999994</v>
      </c>
      <c r="K126" s="140">
        <f>I126-'MCC Data'!X33*'PCU Data'!$T$14-'MCC Data'!W33*'PCU Data'!$S$14</f>
        <v>72.599999999999994</v>
      </c>
      <c r="L126" s="140">
        <f t="shared" si="5"/>
        <v>67</v>
      </c>
      <c r="M126" s="138">
        <f t="shared" si="6"/>
        <v>0.54166666666666685</v>
      </c>
      <c r="O126" s="138">
        <f>'MCC Data'!A82</f>
        <v>0.54166666666666685</v>
      </c>
      <c r="P126" s="237">
        <f>'MCC Data'!Y82</f>
        <v>351</v>
      </c>
      <c r="Q126" s="237">
        <f>P126-'MCC Data'!X82</f>
        <v>336</v>
      </c>
      <c r="R126" s="237">
        <f>P126-'MCC Data'!X82-'MCC Data'!W82</f>
        <v>335</v>
      </c>
      <c r="S126" s="140">
        <f>SUM('PCU Data'!B84:C84)</f>
        <v>357.7</v>
      </c>
      <c r="T126" s="140">
        <f>S126-'MCC Data'!X82*'PCU Data'!$T$14</f>
        <v>354.7</v>
      </c>
      <c r="U126" s="140">
        <f>S126-'MCC Data'!X82*'PCU Data'!$T$14-'MCC Data'!W82*'PCU Data'!$S$14</f>
        <v>354.3</v>
      </c>
      <c r="V126" s="140">
        <f t="shared" si="7"/>
        <v>351</v>
      </c>
      <c r="W126" s="138">
        <f t="shared" si="8"/>
        <v>0.54166666666666685</v>
      </c>
    </row>
    <row r="127" spans="5:23" x14ac:dyDescent="0.2">
      <c r="E127" s="138">
        <f>'MCC Data'!A34</f>
        <v>0.55208333333333348</v>
      </c>
      <c r="F127" s="237">
        <f>'MCC Data'!Y34</f>
        <v>107</v>
      </c>
      <c r="G127" s="237">
        <f>F127-'MCC Data'!X34</f>
        <v>101</v>
      </c>
      <c r="H127" s="237">
        <f>F127-'MCC Data'!X34-'MCC Data'!W34</f>
        <v>100</v>
      </c>
      <c r="I127" s="140">
        <f>SUM('PCU Data'!B36:C36)</f>
        <v>105.8</v>
      </c>
      <c r="J127" s="140">
        <f>I127-'MCC Data'!X34*'PCU Data'!$T$14</f>
        <v>104.6</v>
      </c>
      <c r="K127" s="140">
        <f>I127-'MCC Data'!X34*'PCU Data'!$T$14-'MCC Data'!W34*'PCU Data'!$S$14</f>
        <v>104.19999999999999</v>
      </c>
      <c r="L127" s="140">
        <f t="shared" si="5"/>
        <v>107</v>
      </c>
      <c r="M127" s="138">
        <f t="shared" si="6"/>
        <v>0.55208333333333348</v>
      </c>
      <c r="O127" s="138">
        <f>'MCC Data'!A83</f>
        <v>0.55208333333333348</v>
      </c>
      <c r="P127" s="237">
        <f>'MCC Data'!Y83</f>
        <v>363</v>
      </c>
      <c r="Q127" s="237">
        <f>P127-'MCC Data'!X83</f>
        <v>345</v>
      </c>
      <c r="R127" s="237">
        <f>P127-'MCC Data'!X83-'MCC Data'!W83</f>
        <v>344</v>
      </c>
      <c r="S127" s="140">
        <f>SUM('PCU Data'!B85:C85)</f>
        <v>365.79999999999995</v>
      </c>
      <c r="T127" s="140">
        <f>S127-'MCC Data'!X83*'PCU Data'!$T$14</f>
        <v>362.19999999999993</v>
      </c>
      <c r="U127" s="140">
        <f>S127-'MCC Data'!X83*'PCU Data'!$T$14-'MCC Data'!W83*'PCU Data'!$S$14</f>
        <v>361.79999999999995</v>
      </c>
      <c r="V127" s="140">
        <f t="shared" si="7"/>
        <v>363</v>
      </c>
      <c r="W127" s="138">
        <f t="shared" si="8"/>
        <v>0.55208333333333348</v>
      </c>
    </row>
    <row r="128" spans="5:23" x14ac:dyDescent="0.2">
      <c r="E128" s="138">
        <f>'MCC Data'!A35</f>
        <v>0.56250000000000011</v>
      </c>
      <c r="F128" s="237">
        <f>'MCC Data'!Y35</f>
        <v>97</v>
      </c>
      <c r="G128" s="237">
        <f>F128-'MCC Data'!X35</f>
        <v>94</v>
      </c>
      <c r="H128" s="237">
        <f>F128-'MCC Data'!X35-'MCC Data'!W35</f>
        <v>94</v>
      </c>
      <c r="I128" s="140">
        <f>SUM('PCU Data'!B37:C37)</f>
        <v>101.6</v>
      </c>
      <c r="J128" s="140">
        <f>I128-'MCC Data'!X35*'PCU Data'!$T$14</f>
        <v>101</v>
      </c>
      <c r="K128" s="140">
        <f>I128-'MCC Data'!X35*'PCU Data'!$T$14-'MCC Data'!W35*'PCU Data'!$S$14</f>
        <v>101</v>
      </c>
      <c r="L128" s="140">
        <f t="shared" si="5"/>
        <v>97</v>
      </c>
      <c r="M128" s="138">
        <f t="shared" si="6"/>
        <v>0.56250000000000011</v>
      </c>
      <c r="O128" s="138">
        <f>'MCC Data'!A84</f>
        <v>0.56250000000000011</v>
      </c>
      <c r="P128" s="237">
        <f>'MCC Data'!Y84</f>
        <v>339</v>
      </c>
      <c r="Q128" s="237">
        <f>P128-'MCC Data'!X84</f>
        <v>320</v>
      </c>
      <c r="R128" s="237">
        <f>P128-'MCC Data'!X84-'MCC Data'!W84</f>
        <v>320</v>
      </c>
      <c r="S128" s="140">
        <f>SUM('PCU Data'!B86:C86)</f>
        <v>339.8</v>
      </c>
      <c r="T128" s="140">
        <f>S128-'MCC Data'!X84*'PCU Data'!$T$14</f>
        <v>336</v>
      </c>
      <c r="U128" s="140">
        <f>S128-'MCC Data'!X84*'PCU Data'!$T$14-'MCC Data'!W84*'PCU Data'!$S$14</f>
        <v>336</v>
      </c>
      <c r="V128" s="140">
        <f t="shared" si="7"/>
        <v>339</v>
      </c>
      <c r="W128" s="138">
        <f t="shared" si="8"/>
        <v>0.56250000000000011</v>
      </c>
    </row>
    <row r="129" spans="5:23" x14ac:dyDescent="0.2">
      <c r="E129" s="138">
        <f>'MCC Data'!A36</f>
        <v>0.57291666666666674</v>
      </c>
      <c r="F129" s="237">
        <f>'MCC Data'!Y36</f>
        <v>80</v>
      </c>
      <c r="G129" s="237">
        <f>F129-'MCC Data'!X36</f>
        <v>75</v>
      </c>
      <c r="H129" s="237">
        <f>F129-'MCC Data'!X36-'MCC Data'!W36</f>
        <v>75</v>
      </c>
      <c r="I129" s="140">
        <f>SUM('PCU Data'!B38:C38)</f>
        <v>77.5</v>
      </c>
      <c r="J129" s="140">
        <f>I129-'MCC Data'!X36*'PCU Data'!$T$14</f>
        <v>76.5</v>
      </c>
      <c r="K129" s="140">
        <f>I129-'MCC Data'!X36*'PCU Data'!$T$14-'MCC Data'!W36*'PCU Data'!$S$14</f>
        <v>76.5</v>
      </c>
      <c r="L129" s="140">
        <f t="shared" si="5"/>
        <v>80</v>
      </c>
      <c r="M129" s="138">
        <f t="shared" si="6"/>
        <v>0.57291666666666674</v>
      </c>
      <c r="O129" s="138">
        <f>'MCC Data'!A85</f>
        <v>0.57291666666666674</v>
      </c>
      <c r="P129" s="237">
        <f>'MCC Data'!Y85</f>
        <v>332</v>
      </c>
      <c r="Q129" s="237">
        <f>P129-'MCC Data'!X85</f>
        <v>310</v>
      </c>
      <c r="R129" s="237">
        <f>P129-'MCC Data'!X85-'MCC Data'!W85</f>
        <v>308</v>
      </c>
      <c r="S129" s="140">
        <f>SUM('PCU Data'!B87:C87)</f>
        <v>323.69999999999993</v>
      </c>
      <c r="T129" s="140">
        <f>S129-'MCC Data'!X85*'PCU Data'!$T$14</f>
        <v>319.29999999999995</v>
      </c>
      <c r="U129" s="140">
        <f>S129-'MCC Data'!X85*'PCU Data'!$T$14-'MCC Data'!W85*'PCU Data'!$S$14</f>
        <v>318.49999999999994</v>
      </c>
      <c r="V129" s="140">
        <f t="shared" si="7"/>
        <v>332</v>
      </c>
      <c r="W129" s="138">
        <f t="shared" si="8"/>
        <v>0.57291666666666674</v>
      </c>
    </row>
    <row r="130" spans="5:23" x14ac:dyDescent="0.2">
      <c r="E130" s="138">
        <f>'MCC Data'!A37</f>
        <v>0.58333333333333337</v>
      </c>
      <c r="F130" s="237">
        <f>'MCC Data'!Y37</f>
        <v>79</v>
      </c>
      <c r="G130" s="237">
        <f>F130-'MCC Data'!X37</f>
        <v>75</v>
      </c>
      <c r="H130" s="237">
        <f>F130-'MCC Data'!X37-'MCC Data'!W37</f>
        <v>75</v>
      </c>
      <c r="I130" s="140">
        <f>SUM('PCU Data'!B39:C39)</f>
        <v>80.900000000000006</v>
      </c>
      <c r="J130" s="140">
        <f>I130-'MCC Data'!X37*'PCU Data'!$T$14</f>
        <v>80.100000000000009</v>
      </c>
      <c r="K130" s="140">
        <f>I130-'MCC Data'!X37*'PCU Data'!$T$14-'MCC Data'!W37*'PCU Data'!$S$14</f>
        <v>80.100000000000009</v>
      </c>
      <c r="L130" s="140">
        <f t="shared" si="5"/>
        <v>79</v>
      </c>
      <c r="M130" s="138">
        <f t="shared" si="6"/>
        <v>0.58333333333333337</v>
      </c>
      <c r="O130" s="138">
        <f>'MCC Data'!A86</f>
        <v>0.58333333333333337</v>
      </c>
      <c r="P130" s="237">
        <f>'MCC Data'!Y86</f>
        <v>333</v>
      </c>
      <c r="Q130" s="237">
        <f>P130-'MCC Data'!X86</f>
        <v>313</v>
      </c>
      <c r="R130" s="237">
        <f>P130-'MCC Data'!X86-'MCC Data'!W86</f>
        <v>309</v>
      </c>
      <c r="S130" s="140">
        <f>SUM('PCU Data'!B88:C88)</f>
        <v>323.60000000000002</v>
      </c>
      <c r="T130" s="140">
        <f>S130-'MCC Data'!X86*'PCU Data'!$T$14</f>
        <v>319.60000000000002</v>
      </c>
      <c r="U130" s="140">
        <f>S130-'MCC Data'!X86*'PCU Data'!$T$14-'MCC Data'!W86*'PCU Data'!$S$14</f>
        <v>318</v>
      </c>
      <c r="V130" s="140">
        <f t="shared" si="7"/>
        <v>333</v>
      </c>
      <c r="W130" s="138">
        <f t="shared" si="8"/>
        <v>0.58333333333333337</v>
      </c>
    </row>
    <row r="131" spans="5:23" x14ac:dyDescent="0.2">
      <c r="E131" s="138">
        <f>'MCC Data'!A38</f>
        <v>0.59375</v>
      </c>
      <c r="F131" s="237">
        <f>'MCC Data'!Y38</f>
        <v>83</v>
      </c>
      <c r="G131" s="237">
        <f>F131-'MCC Data'!X38</f>
        <v>76</v>
      </c>
      <c r="H131" s="237">
        <f>F131-'MCC Data'!X38-'MCC Data'!W38</f>
        <v>76</v>
      </c>
      <c r="I131" s="140">
        <f>SUM('PCU Data'!B40:C40)</f>
        <v>79.8</v>
      </c>
      <c r="J131" s="140">
        <f>I131-'MCC Data'!X38*'PCU Data'!$T$14</f>
        <v>78.399999999999991</v>
      </c>
      <c r="K131" s="140">
        <f>I131-'MCC Data'!X38*'PCU Data'!$T$14-'MCC Data'!W38*'PCU Data'!$S$14</f>
        <v>78.399999999999991</v>
      </c>
      <c r="L131" s="140">
        <f t="shared" si="5"/>
        <v>83</v>
      </c>
      <c r="M131" s="138">
        <f t="shared" si="6"/>
        <v>0.59375</v>
      </c>
      <c r="O131" s="138">
        <f>'MCC Data'!A87</f>
        <v>0.59375</v>
      </c>
      <c r="P131" s="237">
        <f>'MCC Data'!Y87</f>
        <v>333</v>
      </c>
      <c r="Q131" s="237">
        <f>P131-'MCC Data'!X87</f>
        <v>312</v>
      </c>
      <c r="R131" s="237">
        <f>P131-'MCC Data'!X87-'MCC Data'!W87</f>
        <v>308</v>
      </c>
      <c r="S131" s="140">
        <f>SUM('PCU Data'!B89:C89)</f>
        <v>318.59999999999997</v>
      </c>
      <c r="T131" s="140">
        <f>S131-'MCC Data'!X87*'PCU Data'!$T$14</f>
        <v>314.39999999999998</v>
      </c>
      <c r="U131" s="140">
        <f>S131-'MCC Data'!X87*'PCU Data'!$T$14-'MCC Data'!W87*'PCU Data'!$S$14</f>
        <v>312.79999999999995</v>
      </c>
      <c r="V131" s="140">
        <f t="shared" si="7"/>
        <v>333</v>
      </c>
      <c r="W131" s="138">
        <f t="shared" si="8"/>
        <v>0.59375</v>
      </c>
    </row>
    <row r="132" spans="5:23" x14ac:dyDescent="0.2">
      <c r="E132" s="138">
        <f>'MCC Data'!A39</f>
        <v>0.60416666666666663</v>
      </c>
      <c r="F132" s="237">
        <f>'MCC Data'!Y39</f>
        <v>90</v>
      </c>
      <c r="G132" s="237">
        <f>F132-'MCC Data'!X39</f>
        <v>84</v>
      </c>
      <c r="H132" s="237">
        <f>F132-'MCC Data'!X39-'MCC Data'!W39</f>
        <v>82</v>
      </c>
      <c r="I132" s="140">
        <f>SUM('PCU Data'!B41:C41)</f>
        <v>85.5</v>
      </c>
      <c r="J132" s="140">
        <f>I132-'MCC Data'!X39*'PCU Data'!$T$14</f>
        <v>84.3</v>
      </c>
      <c r="K132" s="140">
        <f>I132-'MCC Data'!X39*'PCU Data'!$T$14-'MCC Data'!W39*'PCU Data'!$S$14</f>
        <v>83.5</v>
      </c>
      <c r="L132" s="140">
        <f t="shared" si="5"/>
        <v>90</v>
      </c>
      <c r="M132" s="138">
        <f t="shared" si="6"/>
        <v>0.60416666666666663</v>
      </c>
      <c r="O132" s="138">
        <f>'MCC Data'!A88</f>
        <v>0.60416666666666663</v>
      </c>
      <c r="P132" s="237">
        <f>'MCC Data'!Y88</f>
        <v>340</v>
      </c>
      <c r="Q132" s="237">
        <f>P132-'MCC Data'!X88</f>
        <v>320</v>
      </c>
      <c r="R132" s="237">
        <f>P132-'MCC Data'!X88-'MCC Data'!W88</f>
        <v>316</v>
      </c>
      <c r="S132" s="140">
        <f>SUM('PCU Data'!B90:C90)</f>
        <v>331.20000000000005</v>
      </c>
      <c r="T132" s="140">
        <f>S132-'MCC Data'!X88*'PCU Data'!$T$14</f>
        <v>327.20000000000005</v>
      </c>
      <c r="U132" s="140">
        <f>S132-'MCC Data'!X88*'PCU Data'!$T$14-'MCC Data'!W88*'PCU Data'!$S$14</f>
        <v>325.60000000000002</v>
      </c>
      <c r="V132" s="140">
        <f t="shared" si="7"/>
        <v>340</v>
      </c>
      <c r="W132" s="138">
        <f t="shared" si="8"/>
        <v>0.60416666666666663</v>
      </c>
    </row>
    <row r="133" spans="5:23" ht="12.75" customHeight="1" x14ac:dyDescent="0.2">
      <c r="E133" s="138">
        <f>'MCC Data'!A40</f>
        <v>0.61458333333333326</v>
      </c>
      <c r="F133" s="237">
        <f>'MCC Data'!Y40</f>
        <v>81</v>
      </c>
      <c r="G133" s="237">
        <f>F133-'MCC Data'!X40</f>
        <v>78</v>
      </c>
      <c r="H133" s="237">
        <f>F133-'MCC Data'!X40-'MCC Data'!W40</f>
        <v>76</v>
      </c>
      <c r="I133" s="140">
        <f>SUM('PCU Data'!B42:C42)</f>
        <v>77.400000000000006</v>
      </c>
      <c r="J133" s="140">
        <f>I133-'MCC Data'!X40*'PCU Data'!$T$14</f>
        <v>76.800000000000011</v>
      </c>
      <c r="K133" s="140">
        <f>I133-'MCC Data'!X40*'PCU Data'!$T$14-'MCC Data'!W40*'PCU Data'!$S$14</f>
        <v>76.000000000000014</v>
      </c>
      <c r="L133" s="140">
        <f t="shared" si="5"/>
        <v>81</v>
      </c>
      <c r="M133" s="138">
        <f t="shared" si="6"/>
        <v>0.61458333333333326</v>
      </c>
      <c r="O133" s="138">
        <f>'MCC Data'!A89</f>
        <v>0.61458333333333326</v>
      </c>
      <c r="P133" s="237">
        <f>'MCC Data'!Y89</f>
        <v>361</v>
      </c>
      <c r="Q133" s="237">
        <f>P133-'MCC Data'!X89</f>
        <v>342</v>
      </c>
      <c r="R133" s="237">
        <f>P133-'MCC Data'!X89-'MCC Data'!W89</f>
        <v>340</v>
      </c>
      <c r="S133" s="140">
        <f>SUM('PCU Data'!B91:C91)</f>
        <v>356</v>
      </c>
      <c r="T133" s="140">
        <f>S133-'MCC Data'!X89*'PCU Data'!$T$14</f>
        <v>352.2</v>
      </c>
      <c r="U133" s="140">
        <f>S133-'MCC Data'!X89*'PCU Data'!$T$14-'MCC Data'!W89*'PCU Data'!$S$14</f>
        <v>351.4</v>
      </c>
      <c r="V133" s="140">
        <f t="shared" si="7"/>
        <v>361</v>
      </c>
      <c r="W133" s="138">
        <f t="shared" si="8"/>
        <v>0.61458333333333326</v>
      </c>
    </row>
    <row r="134" spans="5:23" x14ac:dyDescent="0.2">
      <c r="E134" s="138">
        <f>'MCC Data'!A41</f>
        <v>0.62499999999999989</v>
      </c>
      <c r="F134" s="237">
        <f>'MCC Data'!Y41</f>
        <v>79</v>
      </c>
      <c r="G134" s="237">
        <f>F134-'MCC Data'!X41</f>
        <v>74</v>
      </c>
      <c r="H134" s="237">
        <f>F134-'MCC Data'!X41-'MCC Data'!W41</f>
        <v>74</v>
      </c>
      <c r="I134" s="140">
        <f>SUM('PCU Data'!B43:C43)</f>
        <v>75.900000000000006</v>
      </c>
      <c r="J134" s="140">
        <f>I134-'MCC Data'!X41*'PCU Data'!$T$14</f>
        <v>74.900000000000006</v>
      </c>
      <c r="K134" s="140">
        <f>I134-'MCC Data'!X41*'PCU Data'!$T$14-'MCC Data'!W41*'PCU Data'!$S$14</f>
        <v>74.900000000000006</v>
      </c>
      <c r="L134" s="140">
        <f t="shared" si="5"/>
        <v>79</v>
      </c>
      <c r="M134" s="138">
        <f t="shared" si="6"/>
        <v>0.62499999999999989</v>
      </c>
      <c r="O134" s="138">
        <f>'MCC Data'!A90</f>
        <v>0.62499999999999989</v>
      </c>
      <c r="P134" s="237">
        <f>'MCC Data'!Y90</f>
        <v>388</v>
      </c>
      <c r="Q134" s="237">
        <f>P134-'MCC Data'!X90</f>
        <v>368</v>
      </c>
      <c r="R134" s="237">
        <f>P134-'MCC Data'!X90-'MCC Data'!W90</f>
        <v>368</v>
      </c>
      <c r="S134" s="140">
        <f>SUM('PCU Data'!B92:C92)</f>
        <v>386.7</v>
      </c>
      <c r="T134" s="140">
        <f>S134-'MCC Data'!X90*'PCU Data'!$T$14</f>
        <v>382.7</v>
      </c>
      <c r="U134" s="140">
        <f>S134-'MCC Data'!X90*'PCU Data'!$T$14-'MCC Data'!W90*'PCU Data'!$S$14</f>
        <v>382.7</v>
      </c>
      <c r="V134" s="140">
        <f t="shared" si="7"/>
        <v>388</v>
      </c>
      <c r="W134" s="138">
        <f t="shared" si="8"/>
        <v>0.62499999999999989</v>
      </c>
    </row>
    <row r="135" spans="5:23" x14ac:dyDescent="0.2">
      <c r="E135" s="138">
        <f>'MCC Data'!A42</f>
        <v>0.63541666666666652</v>
      </c>
      <c r="F135" s="237">
        <f>'MCC Data'!Y42</f>
        <v>90</v>
      </c>
      <c r="G135" s="237">
        <f>F135-'MCC Data'!X42</f>
        <v>84</v>
      </c>
      <c r="H135" s="237">
        <f>F135-'MCC Data'!X42-'MCC Data'!W42</f>
        <v>84</v>
      </c>
      <c r="I135" s="140">
        <f>SUM('PCU Data'!B44:C44)</f>
        <v>92.4</v>
      </c>
      <c r="J135" s="140">
        <f>I135-'MCC Data'!X42*'PCU Data'!$T$14</f>
        <v>91.2</v>
      </c>
      <c r="K135" s="140">
        <f>I135-'MCC Data'!X42*'PCU Data'!$T$14-'MCC Data'!W42*'PCU Data'!$S$14</f>
        <v>91.2</v>
      </c>
      <c r="L135" s="140">
        <f t="shared" si="5"/>
        <v>90</v>
      </c>
      <c r="M135" s="138">
        <f t="shared" si="6"/>
        <v>0.63541666666666652</v>
      </c>
      <c r="O135" s="138">
        <f>'MCC Data'!A91</f>
        <v>0.63541666666666652</v>
      </c>
      <c r="P135" s="237">
        <f>'MCC Data'!Y91</f>
        <v>406</v>
      </c>
      <c r="Q135" s="237">
        <f>P135-'MCC Data'!X91</f>
        <v>389</v>
      </c>
      <c r="R135" s="237">
        <f>P135-'MCC Data'!X91-'MCC Data'!W91</f>
        <v>389</v>
      </c>
      <c r="S135" s="140">
        <f>SUM('PCU Data'!B93:C93)</f>
        <v>408.59999999999997</v>
      </c>
      <c r="T135" s="140">
        <f>S135-'MCC Data'!X91*'PCU Data'!$T$14</f>
        <v>405.2</v>
      </c>
      <c r="U135" s="140">
        <f>S135-'MCC Data'!X91*'PCU Data'!$T$14-'MCC Data'!W91*'PCU Data'!$S$14</f>
        <v>405.2</v>
      </c>
      <c r="V135" s="140">
        <f t="shared" si="7"/>
        <v>406</v>
      </c>
      <c r="W135" s="138">
        <f t="shared" si="8"/>
        <v>0.63541666666666652</v>
      </c>
    </row>
    <row r="136" spans="5:23" x14ac:dyDescent="0.2">
      <c r="E136" s="138">
        <f>'MCC Data'!A43</f>
        <v>0.64583333333333315</v>
      </c>
      <c r="F136" s="237">
        <f>'MCC Data'!Y43</f>
        <v>111</v>
      </c>
      <c r="G136" s="237">
        <f>F136-'MCC Data'!X43</f>
        <v>106</v>
      </c>
      <c r="H136" s="237">
        <f>F136-'MCC Data'!X43-'MCC Data'!W43</f>
        <v>106</v>
      </c>
      <c r="I136" s="140">
        <f>SUM('PCU Data'!B45:C45)</f>
        <v>110.3</v>
      </c>
      <c r="J136" s="140">
        <f>I136-'MCC Data'!X43*'PCU Data'!$T$14</f>
        <v>109.3</v>
      </c>
      <c r="K136" s="140">
        <f>I136-'MCC Data'!X43*'PCU Data'!$T$14-'MCC Data'!W43*'PCU Data'!$S$14</f>
        <v>109.3</v>
      </c>
      <c r="L136" s="140">
        <f t="shared" si="5"/>
        <v>111</v>
      </c>
      <c r="M136" s="138">
        <f t="shared" si="6"/>
        <v>0.64583333333333315</v>
      </c>
      <c r="O136" s="138">
        <f>'MCC Data'!A92</f>
        <v>0.64583333333333315</v>
      </c>
      <c r="P136" s="237">
        <f>'MCC Data'!Y92</f>
        <v>445</v>
      </c>
      <c r="Q136" s="237">
        <f>P136-'MCC Data'!X92</f>
        <v>429</v>
      </c>
      <c r="R136" s="237">
        <f>P136-'MCC Data'!X92-'MCC Data'!W92</f>
        <v>427</v>
      </c>
      <c r="S136" s="140">
        <f>SUM('PCU Data'!B94:C94)</f>
        <v>443.90000000000003</v>
      </c>
      <c r="T136" s="140">
        <f>S136-'MCC Data'!X92*'PCU Data'!$T$14</f>
        <v>440.70000000000005</v>
      </c>
      <c r="U136" s="140">
        <f>S136-'MCC Data'!X92*'PCU Data'!$T$14-'MCC Data'!W92*'PCU Data'!$S$14</f>
        <v>439.90000000000003</v>
      </c>
      <c r="V136" s="140">
        <f t="shared" si="7"/>
        <v>445</v>
      </c>
      <c r="W136" s="138">
        <f t="shared" si="8"/>
        <v>0.64583333333333315</v>
      </c>
    </row>
    <row r="137" spans="5:23" x14ac:dyDescent="0.2">
      <c r="E137" s="138">
        <f>'MCC Data'!A44</f>
        <v>0.65624999999999978</v>
      </c>
      <c r="F137" s="237">
        <f>'MCC Data'!Y44</f>
        <v>108</v>
      </c>
      <c r="G137" s="237">
        <f>F137-'MCC Data'!X44</f>
        <v>104</v>
      </c>
      <c r="H137" s="237">
        <f>F137-'MCC Data'!X44-'MCC Data'!W44</f>
        <v>104</v>
      </c>
      <c r="I137" s="140">
        <f>SUM('PCU Data'!B46:C46)</f>
        <v>108.1</v>
      </c>
      <c r="J137" s="140">
        <f>I137-'MCC Data'!X44*'PCU Data'!$T$14</f>
        <v>107.3</v>
      </c>
      <c r="K137" s="140">
        <f>I137-'MCC Data'!X44*'PCU Data'!$T$14-'MCC Data'!W44*'PCU Data'!$S$14</f>
        <v>107.3</v>
      </c>
      <c r="L137" s="140">
        <f t="shared" si="5"/>
        <v>108</v>
      </c>
      <c r="M137" s="138">
        <f t="shared" si="6"/>
        <v>0.65624999999999978</v>
      </c>
      <c r="O137" s="138">
        <f>'MCC Data'!A93</f>
        <v>0.65624999999999978</v>
      </c>
      <c r="P137" s="237">
        <f>'MCC Data'!Y93</f>
        <v>449</v>
      </c>
      <c r="Q137" s="237">
        <f>P137-'MCC Data'!X93</f>
        <v>429</v>
      </c>
      <c r="R137" s="237">
        <f>P137-'MCC Data'!X93-'MCC Data'!W93</f>
        <v>425</v>
      </c>
      <c r="S137" s="140">
        <f>SUM('PCU Data'!B95:C95)</f>
        <v>442.6</v>
      </c>
      <c r="T137" s="140">
        <f>S137-'MCC Data'!X93*'PCU Data'!$T$14</f>
        <v>438.6</v>
      </c>
      <c r="U137" s="140">
        <f>S137-'MCC Data'!X93*'PCU Data'!$T$14-'MCC Data'!W93*'PCU Data'!$S$14</f>
        <v>437</v>
      </c>
      <c r="V137" s="140">
        <f t="shared" si="7"/>
        <v>449</v>
      </c>
      <c r="W137" s="138">
        <f t="shared" si="8"/>
        <v>0.65624999999999978</v>
      </c>
    </row>
    <row r="138" spans="5:23" x14ac:dyDescent="0.2">
      <c r="E138" s="138">
        <f>'MCC Data'!A45</f>
        <v>0.66666666666666641</v>
      </c>
      <c r="F138" s="237">
        <f>'MCC Data'!Y45</f>
        <v>97</v>
      </c>
      <c r="G138" s="237">
        <f>F138-'MCC Data'!X45</f>
        <v>95</v>
      </c>
      <c r="H138" s="237">
        <f>F138-'MCC Data'!X45-'MCC Data'!W45</f>
        <v>95</v>
      </c>
      <c r="I138" s="140">
        <f>SUM('PCU Data'!B47:C47)</f>
        <v>97.800000000000011</v>
      </c>
      <c r="J138" s="140">
        <f>I138-'MCC Data'!X45*'PCU Data'!$T$14</f>
        <v>97.4</v>
      </c>
      <c r="K138" s="140">
        <f>I138-'MCC Data'!X45*'PCU Data'!$T$14-'MCC Data'!W45*'PCU Data'!$S$14</f>
        <v>97.4</v>
      </c>
      <c r="L138" s="140">
        <f t="shared" si="5"/>
        <v>97</v>
      </c>
      <c r="M138" s="138">
        <f t="shared" si="6"/>
        <v>0.66666666666666641</v>
      </c>
      <c r="O138" s="138">
        <f>'MCC Data'!A94</f>
        <v>0.66666666666666641</v>
      </c>
      <c r="P138" s="237">
        <f>'MCC Data'!Y94</f>
        <v>447</v>
      </c>
      <c r="Q138" s="237">
        <f>P138-'MCC Data'!X94</f>
        <v>424</v>
      </c>
      <c r="R138" s="237">
        <f>P138-'MCC Data'!X94-'MCC Data'!W94</f>
        <v>416</v>
      </c>
      <c r="S138" s="140">
        <f>SUM('PCU Data'!B96:C96)</f>
        <v>434.90000000000003</v>
      </c>
      <c r="T138" s="140">
        <f>S138-'MCC Data'!X94*'PCU Data'!$T$14</f>
        <v>430.3</v>
      </c>
      <c r="U138" s="140">
        <f>S138-'MCC Data'!X94*'PCU Data'!$T$14-'MCC Data'!W94*'PCU Data'!$S$14</f>
        <v>427.1</v>
      </c>
      <c r="V138" s="140">
        <f t="shared" si="7"/>
        <v>447</v>
      </c>
      <c r="W138" s="138">
        <f t="shared" si="8"/>
        <v>0.66666666666666641</v>
      </c>
    </row>
    <row r="139" spans="5:23" x14ac:dyDescent="0.2">
      <c r="E139" s="138">
        <f>'MCC Data'!A46</f>
        <v>0.67708333333333304</v>
      </c>
      <c r="F139" s="237">
        <f>'MCC Data'!Y46</f>
        <v>129</v>
      </c>
      <c r="G139" s="237">
        <f>F139-'MCC Data'!X46</f>
        <v>124</v>
      </c>
      <c r="H139" s="237">
        <f>F139-'MCC Data'!X46-'MCC Data'!W46</f>
        <v>122</v>
      </c>
      <c r="I139" s="140">
        <f>SUM('PCU Data'!B48:C48)</f>
        <v>127.70000000000002</v>
      </c>
      <c r="J139" s="140">
        <f>I139-'MCC Data'!X46*'PCU Data'!$T$14</f>
        <v>126.70000000000002</v>
      </c>
      <c r="K139" s="140">
        <f>I139-'MCC Data'!X46*'PCU Data'!$T$14-'MCC Data'!W46*'PCU Data'!$S$14</f>
        <v>125.90000000000002</v>
      </c>
      <c r="L139" s="140">
        <f t="shared" si="5"/>
        <v>129</v>
      </c>
      <c r="M139" s="138">
        <f t="shared" si="6"/>
        <v>0.67708333333333304</v>
      </c>
      <c r="O139" s="138">
        <f>'MCC Data'!A95</f>
        <v>0.67708333333333304</v>
      </c>
      <c r="P139" s="237">
        <f>'MCC Data'!Y95</f>
        <v>446</v>
      </c>
      <c r="Q139" s="237">
        <f>P139-'MCC Data'!X95</f>
        <v>415</v>
      </c>
      <c r="R139" s="237">
        <f>P139-'MCC Data'!X95-'MCC Data'!W95</f>
        <v>406</v>
      </c>
      <c r="S139" s="140">
        <f>SUM('PCU Data'!B97:C97)</f>
        <v>426.3</v>
      </c>
      <c r="T139" s="140">
        <f>S139-'MCC Data'!X95*'PCU Data'!$T$14</f>
        <v>420.1</v>
      </c>
      <c r="U139" s="140">
        <f>S139-'MCC Data'!X95*'PCU Data'!$T$14-'MCC Data'!W95*'PCU Data'!$S$14</f>
        <v>416.5</v>
      </c>
      <c r="V139" s="140">
        <f t="shared" si="7"/>
        <v>446</v>
      </c>
      <c r="W139" s="138">
        <f t="shared" si="8"/>
        <v>0.67708333333333304</v>
      </c>
    </row>
    <row r="140" spans="5:23" x14ac:dyDescent="0.2">
      <c r="E140" s="138">
        <f>'MCC Data'!A47</f>
        <v>0.68749999999999967</v>
      </c>
      <c r="F140" s="237">
        <f>'MCC Data'!Y47</f>
        <v>115</v>
      </c>
      <c r="G140" s="237">
        <f>F140-'MCC Data'!X47</f>
        <v>106</v>
      </c>
      <c r="H140" s="237">
        <f>F140-'MCC Data'!X47-'MCC Data'!W47</f>
        <v>104</v>
      </c>
      <c r="I140" s="140">
        <f>SUM('PCU Data'!B49:C49)</f>
        <v>109</v>
      </c>
      <c r="J140" s="140">
        <f>I140-'MCC Data'!X47*'PCU Data'!$T$14</f>
        <v>107.2</v>
      </c>
      <c r="K140" s="140">
        <f>I140-'MCC Data'!X47*'PCU Data'!$T$14-'MCC Data'!W47*'PCU Data'!$S$14</f>
        <v>106.4</v>
      </c>
      <c r="L140" s="140">
        <f t="shared" si="5"/>
        <v>115</v>
      </c>
      <c r="M140" s="138">
        <f t="shared" si="6"/>
        <v>0.68749999999999967</v>
      </c>
      <c r="O140" s="138">
        <f>'MCC Data'!A96</f>
        <v>0.68749999999999967</v>
      </c>
      <c r="P140" s="237">
        <f>'MCC Data'!Y96</f>
        <v>441</v>
      </c>
      <c r="Q140" s="237">
        <f>P140-'MCC Data'!X96</f>
        <v>409</v>
      </c>
      <c r="R140" s="237">
        <f>P140-'MCC Data'!X96-'MCC Data'!W96</f>
        <v>401</v>
      </c>
      <c r="S140" s="140">
        <f>SUM('PCU Data'!B98:C98)</f>
        <v>420.20000000000005</v>
      </c>
      <c r="T140" s="140">
        <f>S140-'MCC Data'!X96*'PCU Data'!$T$14</f>
        <v>413.80000000000007</v>
      </c>
      <c r="U140" s="140">
        <f>S140-'MCC Data'!X96*'PCU Data'!$T$14-'MCC Data'!W96*'PCU Data'!$S$14</f>
        <v>410.60000000000008</v>
      </c>
      <c r="V140" s="140">
        <f t="shared" si="7"/>
        <v>441</v>
      </c>
      <c r="W140" s="138">
        <f t="shared" si="8"/>
        <v>0.68749999999999967</v>
      </c>
    </row>
    <row r="141" spans="5:23" x14ac:dyDescent="0.2">
      <c r="E141" s="138">
        <f>'MCC Data'!A48</f>
        <v>0.6979166666666663</v>
      </c>
      <c r="F141" s="237">
        <f>'MCC Data'!Y48</f>
        <v>106</v>
      </c>
      <c r="G141" s="237">
        <f>F141-'MCC Data'!X48</f>
        <v>99</v>
      </c>
      <c r="H141" s="237">
        <f>F141-'MCC Data'!X48-'MCC Data'!W48</f>
        <v>95</v>
      </c>
      <c r="I141" s="140">
        <f>SUM('PCU Data'!B50:C50)</f>
        <v>100.4</v>
      </c>
      <c r="J141" s="140">
        <f>I141-'MCC Data'!X48*'PCU Data'!$T$14</f>
        <v>99</v>
      </c>
      <c r="K141" s="140">
        <f>I141-'MCC Data'!X48*'PCU Data'!$T$14-'MCC Data'!W48*'PCU Data'!$S$14</f>
        <v>97.4</v>
      </c>
      <c r="L141" s="140">
        <f t="shared" si="5"/>
        <v>106</v>
      </c>
      <c r="M141" s="138">
        <f t="shared" si="6"/>
        <v>0.6979166666666663</v>
      </c>
      <c r="O141" s="138">
        <f>'MCC Data'!A97</f>
        <v>0.6979166666666663</v>
      </c>
      <c r="P141" s="237">
        <f>'MCC Data'!Y97</f>
        <v>436</v>
      </c>
      <c r="Q141" s="237">
        <f>P141-'MCC Data'!X97</f>
        <v>402</v>
      </c>
      <c r="R141" s="237">
        <f>P141-'MCC Data'!X97-'MCC Data'!W97</f>
        <v>394</v>
      </c>
      <c r="S141" s="140">
        <f>SUM('PCU Data'!B99:C99)</f>
        <v>413.6</v>
      </c>
      <c r="T141" s="140">
        <f>S141-'MCC Data'!X97*'PCU Data'!$T$14</f>
        <v>406.8</v>
      </c>
      <c r="U141" s="140">
        <f>S141-'MCC Data'!X97*'PCU Data'!$T$14-'MCC Data'!W97*'PCU Data'!$S$14</f>
        <v>403.6</v>
      </c>
      <c r="V141" s="140">
        <f t="shared" si="7"/>
        <v>436</v>
      </c>
      <c r="W141" s="138">
        <f t="shared" si="8"/>
        <v>0.6979166666666663</v>
      </c>
    </row>
    <row r="142" spans="5:23" x14ac:dyDescent="0.2">
      <c r="E142" s="138">
        <f>'MCC Data'!A49</f>
        <v>0.70833333333333293</v>
      </c>
      <c r="F142" s="237">
        <f>'MCC Data'!Y49</f>
        <v>96</v>
      </c>
      <c r="G142" s="237">
        <f>F142-'MCC Data'!X49</f>
        <v>86</v>
      </c>
      <c r="H142" s="237">
        <f>F142-'MCC Data'!X49-'MCC Data'!W49</f>
        <v>85</v>
      </c>
      <c r="I142" s="140">
        <f>SUM('PCU Data'!B51:C51)</f>
        <v>89.199999999999989</v>
      </c>
      <c r="J142" s="140">
        <f>I142-'MCC Data'!X49*'PCU Data'!$T$14</f>
        <v>87.199999999999989</v>
      </c>
      <c r="K142" s="140">
        <f>I142-'MCC Data'!X49*'PCU Data'!$T$14-'MCC Data'!W49*'PCU Data'!$S$14</f>
        <v>86.799999999999983</v>
      </c>
      <c r="L142" s="140">
        <f t="shared" si="5"/>
        <v>96</v>
      </c>
      <c r="M142" s="138">
        <f t="shared" si="6"/>
        <v>0.70833333333333293</v>
      </c>
      <c r="O142" s="138">
        <f>'MCC Data'!A98</f>
        <v>0.70833333333333293</v>
      </c>
      <c r="P142" s="237">
        <f>'MCC Data'!Y98</f>
        <v>441</v>
      </c>
      <c r="Q142" s="237">
        <f>P142-'MCC Data'!X98</f>
        <v>407</v>
      </c>
      <c r="R142" s="237">
        <f>P142-'MCC Data'!X98-'MCC Data'!W98</f>
        <v>402</v>
      </c>
      <c r="S142" s="140">
        <f>SUM('PCU Data'!B100:C100)</f>
        <v>418.9</v>
      </c>
      <c r="T142" s="140">
        <f>S142-'MCC Data'!X98*'PCU Data'!$T$14</f>
        <v>412.09999999999997</v>
      </c>
      <c r="U142" s="140">
        <f>S142-'MCC Data'!X98*'PCU Data'!$T$14-'MCC Data'!W98*'PCU Data'!$S$14</f>
        <v>410.09999999999997</v>
      </c>
      <c r="V142" s="140">
        <f t="shared" si="7"/>
        <v>441</v>
      </c>
      <c r="W142" s="138">
        <f t="shared" si="8"/>
        <v>0.70833333333333293</v>
      </c>
    </row>
    <row r="143" spans="5:23" x14ac:dyDescent="0.2">
      <c r="E143" s="138">
        <f>'MCC Data'!A50</f>
        <v>0.71874999999999956</v>
      </c>
      <c r="F143" s="237">
        <f>'MCC Data'!Y50</f>
        <v>124</v>
      </c>
      <c r="G143" s="237">
        <f>F143-'MCC Data'!X50</f>
        <v>118</v>
      </c>
      <c r="H143" s="237">
        <f>F143-'MCC Data'!X50-'MCC Data'!W50</f>
        <v>117</v>
      </c>
      <c r="I143" s="140">
        <f>SUM('PCU Data'!B52:C52)</f>
        <v>121.6</v>
      </c>
      <c r="J143" s="140">
        <f>I143-'MCC Data'!X50*'PCU Data'!$T$14</f>
        <v>120.39999999999999</v>
      </c>
      <c r="K143" s="140">
        <f>I143-'MCC Data'!X50*'PCU Data'!$T$14-'MCC Data'!W50*'PCU Data'!$S$14</f>
        <v>119.99999999999999</v>
      </c>
      <c r="L143" s="140">
        <f t="shared" si="5"/>
        <v>124</v>
      </c>
      <c r="M143" s="138">
        <f t="shared" si="6"/>
        <v>0.71874999999999956</v>
      </c>
      <c r="O143" s="138">
        <f>'MCC Data'!A99</f>
        <v>0.71874999999999956</v>
      </c>
      <c r="P143" s="237">
        <f>'MCC Data'!Y99</f>
        <v>454</v>
      </c>
      <c r="Q143" s="237">
        <f>P143-'MCC Data'!X99</f>
        <v>418</v>
      </c>
      <c r="R143" s="237">
        <f>P143-'MCC Data'!X99-'MCC Data'!W99</f>
        <v>414</v>
      </c>
      <c r="S143" s="140">
        <f>SUM('PCU Data'!B101:C101)</f>
        <v>433</v>
      </c>
      <c r="T143" s="140">
        <f>S143-'MCC Data'!X99*'PCU Data'!$T$14</f>
        <v>425.8</v>
      </c>
      <c r="U143" s="140">
        <f>S143-'MCC Data'!X99*'PCU Data'!$T$14-'MCC Data'!W99*'PCU Data'!$S$14</f>
        <v>424.2</v>
      </c>
      <c r="V143" s="140">
        <f t="shared" si="7"/>
        <v>454</v>
      </c>
      <c r="W143" s="138">
        <f t="shared" si="8"/>
        <v>0.71874999999999956</v>
      </c>
    </row>
    <row r="144" spans="5:23" x14ac:dyDescent="0.2">
      <c r="E144" s="138">
        <f>'MCC Data'!A51</f>
        <v>0.72916666666666619</v>
      </c>
      <c r="F144" s="237">
        <f>'MCC Data'!Y51</f>
        <v>110</v>
      </c>
      <c r="G144" s="237">
        <f>F144-'MCC Data'!X51</f>
        <v>99</v>
      </c>
      <c r="H144" s="237">
        <f>F144-'MCC Data'!X51-'MCC Data'!W51</f>
        <v>97</v>
      </c>
      <c r="I144" s="140">
        <f>SUM('PCU Data'!B53:C53)</f>
        <v>102.39999999999999</v>
      </c>
      <c r="J144" s="140">
        <f>I144-'MCC Data'!X51*'PCU Data'!$T$14</f>
        <v>100.19999999999999</v>
      </c>
      <c r="K144" s="140">
        <f>I144-'MCC Data'!X51*'PCU Data'!$T$14-'MCC Data'!W51*'PCU Data'!$S$14</f>
        <v>99.399999999999991</v>
      </c>
      <c r="L144" s="140">
        <f t="shared" si="5"/>
        <v>110</v>
      </c>
      <c r="M144" s="138">
        <f t="shared" si="6"/>
        <v>0.72916666666666619</v>
      </c>
      <c r="O144" s="138">
        <f>'MCC Data'!A100</f>
        <v>0.72916666666666619</v>
      </c>
      <c r="P144" s="237">
        <f>'MCC Data'!Y100</f>
        <v>429</v>
      </c>
      <c r="Q144" s="237">
        <f>P144-'MCC Data'!X100</f>
        <v>389</v>
      </c>
      <c r="R144" s="237">
        <f>P144-'MCC Data'!X100-'MCC Data'!W100</f>
        <v>386</v>
      </c>
      <c r="S144" s="140">
        <f>SUM('PCU Data'!B102:C102)</f>
        <v>406.6</v>
      </c>
      <c r="T144" s="140">
        <f>S144-'MCC Data'!X100*'PCU Data'!$T$14</f>
        <v>398.6</v>
      </c>
      <c r="U144" s="140">
        <f>S144-'MCC Data'!X100*'PCU Data'!$T$14-'MCC Data'!W100*'PCU Data'!$S$14</f>
        <v>397.40000000000003</v>
      </c>
      <c r="V144" s="140">
        <f t="shared" si="7"/>
        <v>429</v>
      </c>
      <c r="W144" s="138">
        <f t="shared" si="8"/>
        <v>0.72916666666666619</v>
      </c>
    </row>
    <row r="145" spans="5:23" x14ac:dyDescent="0.2">
      <c r="E145" s="138">
        <f>'MCC Data'!A52</f>
        <v>0.73958333333333282</v>
      </c>
      <c r="F145" s="237">
        <f>'MCC Data'!Y52</f>
        <v>111</v>
      </c>
      <c r="G145" s="237">
        <f>F145-'MCC Data'!X52</f>
        <v>104</v>
      </c>
      <c r="H145" s="237">
        <f>F145-'MCC Data'!X52-'MCC Data'!W52</f>
        <v>103</v>
      </c>
      <c r="I145" s="140">
        <f>SUM('PCU Data'!B54:C54)</f>
        <v>105.7</v>
      </c>
      <c r="J145" s="140">
        <f>I145-'MCC Data'!X52*'PCU Data'!$T$14</f>
        <v>104.3</v>
      </c>
      <c r="K145" s="140">
        <f>I145-'MCC Data'!X52*'PCU Data'!$T$14-'MCC Data'!W52*'PCU Data'!$S$14</f>
        <v>103.89999999999999</v>
      </c>
      <c r="L145" s="140">
        <f t="shared" si="5"/>
        <v>111</v>
      </c>
      <c r="M145" s="138">
        <f t="shared" si="6"/>
        <v>0.73958333333333282</v>
      </c>
      <c r="O145" s="138">
        <f>'MCC Data'!A101</f>
        <v>0.73958333333333282</v>
      </c>
      <c r="P145" s="237">
        <f>'MCC Data'!Y101</f>
        <v>428</v>
      </c>
      <c r="Q145" s="237">
        <f>P145-'MCC Data'!X101</f>
        <v>383</v>
      </c>
      <c r="R145" s="237">
        <f>P145-'MCC Data'!X101-'MCC Data'!W101</f>
        <v>382</v>
      </c>
      <c r="S145" s="140">
        <f>SUM('PCU Data'!B103:C103)</f>
        <v>404.3</v>
      </c>
      <c r="T145" s="140">
        <f>S145-'MCC Data'!X101*'PCU Data'!$T$14</f>
        <v>395.3</v>
      </c>
      <c r="U145" s="140">
        <f>S145-'MCC Data'!X101*'PCU Data'!$T$14-'MCC Data'!W101*'PCU Data'!$S$14</f>
        <v>394.90000000000003</v>
      </c>
      <c r="V145" s="140">
        <f t="shared" si="7"/>
        <v>428</v>
      </c>
      <c r="W145" s="138">
        <f t="shared" si="8"/>
        <v>0.73958333333333282</v>
      </c>
    </row>
    <row r="146" spans="5:23" x14ac:dyDescent="0.2">
      <c r="E146" s="138">
        <f>'MCC Data'!A53</f>
        <v>0.74999999999999944</v>
      </c>
      <c r="F146" s="237">
        <f>'MCC Data'!Y53</f>
        <v>109</v>
      </c>
      <c r="G146" s="237">
        <f>F146-'MCC Data'!X53</f>
        <v>97</v>
      </c>
      <c r="H146" s="237">
        <f>F146-'MCC Data'!X53-'MCC Data'!W53</f>
        <v>97</v>
      </c>
      <c r="I146" s="140">
        <f>SUM('PCU Data'!B55:C55)</f>
        <v>103.3</v>
      </c>
      <c r="J146" s="140">
        <f>I146-'MCC Data'!X53*'PCU Data'!$T$14</f>
        <v>100.89999999999999</v>
      </c>
      <c r="K146" s="140">
        <f>I146-'MCC Data'!X53*'PCU Data'!$T$14-'MCC Data'!W53*'PCU Data'!$S$14</f>
        <v>100.89999999999999</v>
      </c>
      <c r="L146" s="140">
        <f t="shared" si="5"/>
        <v>109</v>
      </c>
      <c r="M146" s="138">
        <f t="shared" si="6"/>
        <v>0.74999999999999944</v>
      </c>
      <c r="O146" s="138">
        <f>'MCC Data'!A102</f>
        <v>0.74999999999999944</v>
      </c>
      <c r="P146" s="237">
        <f>'MCC Data'!Y102</f>
        <v>408</v>
      </c>
      <c r="Q146" s="237">
        <f>P146-'MCC Data'!X102</f>
        <v>359</v>
      </c>
      <c r="R146" s="237">
        <f>P146-'MCC Data'!X102-'MCC Data'!W102</f>
        <v>359</v>
      </c>
      <c r="S146" s="140">
        <f>SUM('PCU Data'!B104:C104)</f>
        <v>380.79999999999995</v>
      </c>
      <c r="T146" s="140">
        <f>S146-'MCC Data'!X102*'PCU Data'!$T$14</f>
        <v>370.99999999999994</v>
      </c>
      <c r="U146" s="140">
        <f>S146-'MCC Data'!X102*'PCU Data'!$T$14-'MCC Data'!W102*'PCU Data'!$S$14</f>
        <v>370.99999999999994</v>
      </c>
      <c r="V146" s="140">
        <f t="shared" si="7"/>
        <v>408</v>
      </c>
      <c r="W146" s="138">
        <f t="shared" si="8"/>
        <v>0.74999999999999944</v>
      </c>
    </row>
    <row r="147" spans="5:23" x14ac:dyDescent="0.2">
      <c r="E147" s="138">
        <f>'MCC Data'!A54</f>
        <v>0.76041666666666607</v>
      </c>
      <c r="F147" s="237">
        <f>'MCC Data'!Y54</f>
        <v>99</v>
      </c>
      <c r="G147" s="237">
        <f>F147-'MCC Data'!X54</f>
        <v>89</v>
      </c>
      <c r="H147" s="237">
        <f>F147-'MCC Data'!X54-'MCC Data'!W54</f>
        <v>89</v>
      </c>
      <c r="I147" s="140">
        <f>SUM('PCU Data'!B56:C56)</f>
        <v>95.199999999999989</v>
      </c>
      <c r="J147" s="140">
        <f>I147-'MCC Data'!X54*'PCU Data'!$T$14</f>
        <v>93.199999999999989</v>
      </c>
      <c r="K147" s="140">
        <f>I147-'MCC Data'!X54*'PCU Data'!$T$14-'MCC Data'!W54*'PCU Data'!$S$14</f>
        <v>93.199999999999989</v>
      </c>
      <c r="L147" s="140">
        <f t="shared" si="5"/>
        <v>99</v>
      </c>
      <c r="M147" s="138">
        <f t="shared" si="6"/>
        <v>0.76041666666666607</v>
      </c>
    </row>
    <row r="148" spans="5:23" x14ac:dyDescent="0.2">
      <c r="E148" s="138">
        <f>'MCC Data'!A55</f>
        <v>0.7708333333333327</v>
      </c>
      <c r="F148" s="237">
        <f>'MCC Data'!Y55</f>
        <v>109</v>
      </c>
      <c r="G148" s="237">
        <f>F148-'MCC Data'!X55</f>
        <v>93</v>
      </c>
      <c r="H148" s="237">
        <f>F148-'MCC Data'!X55-'MCC Data'!W55</f>
        <v>93</v>
      </c>
      <c r="I148" s="140">
        <f>SUM('PCU Data'!B57:C57)</f>
        <v>100.1</v>
      </c>
      <c r="J148" s="140">
        <f>I148-'MCC Data'!X55*'PCU Data'!$T$14</f>
        <v>96.899999999999991</v>
      </c>
      <c r="K148" s="140">
        <f>I148-'MCC Data'!X55*'PCU Data'!$T$14-'MCC Data'!W55*'PCU Data'!$S$14</f>
        <v>96.899999999999991</v>
      </c>
      <c r="L148" s="140">
        <f t="shared" si="5"/>
        <v>109</v>
      </c>
      <c r="M148" s="138">
        <f t="shared" si="6"/>
        <v>0.7708333333333327</v>
      </c>
    </row>
    <row r="149" spans="5:23" x14ac:dyDescent="0.2">
      <c r="E149" s="138">
        <f>'MCC Data'!A56</f>
        <v>0.78124999999999933</v>
      </c>
      <c r="F149" s="237">
        <f>'MCC Data'!Y56</f>
        <v>91</v>
      </c>
      <c r="G149" s="237">
        <f>F149-'MCC Data'!X56</f>
        <v>80</v>
      </c>
      <c r="H149" s="237">
        <f>F149-'MCC Data'!X56-'MCC Data'!W56</f>
        <v>80</v>
      </c>
      <c r="I149" s="140">
        <f>SUM('PCU Data'!B58:C58)</f>
        <v>82.199999999999989</v>
      </c>
      <c r="J149" s="140">
        <f>I149-'MCC Data'!X56*'PCU Data'!$T$14</f>
        <v>79.999999999999986</v>
      </c>
      <c r="K149" s="140">
        <f>I149-'MCC Data'!X56*'PCU Data'!$T$14-'MCC Data'!W56*'PCU Data'!$S$14</f>
        <v>79.999999999999986</v>
      </c>
      <c r="L149" s="140">
        <f t="shared" si="5"/>
        <v>91</v>
      </c>
      <c r="M149" s="138">
        <f t="shared" si="6"/>
        <v>0.78124999999999933</v>
      </c>
    </row>
  </sheetData>
  <mergeCells count="60">
    <mergeCell ref="E89:E90"/>
    <mergeCell ref="E95:E96"/>
    <mergeCell ref="K95:K96"/>
    <mergeCell ref="K89:K90"/>
    <mergeCell ref="K83:K84"/>
    <mergeCell ref="E77:E78"/>
    <mergeCell ref="E83:E84"/>
    <mergeCell ref="K77:K78"/>
    <mergeCell ref="E49:E50"/>
    <mergeCell ref="E55:E56"/>
    <mergeCell ref="E61:E62"/>
    <mergeCell ref="E67:E68"/>
    <mergeCell ref="K67:K68"/>
    <mergeCell ref="K61:K62"/>
    <mergeCell ref="K55:K56"/>
    <mergeCell ref="K49:K50"/>
    <mergeCell ref="R2:W2"/>
    <mergeCell ref="R3:W3"/>
    <mergeCell ref="R4:W4"/>
    <mergeCell ref="R5:W5"/>
    <mergeCell ref="R6:W6"/>
    <mergeCell ref="H100:H101"/>
    <mergeCell ref="K100:K101"/>
    <mergeCell ref="R100:R101"/>
    <mergeCell ref="U100:U101"/>
    <mergeCell ref="M24:O24"/>
    <mergeCell ref="I24:J24"/>
    <mergeCell ref="R28:W28"/>
    <mergeCell ref="V34:Z34"/>
    <mergeCell ref="X26:X27"/>
    <mergeCell ref="F30:H30"/>
    <mergeCell ref="L30:N30"/>
    <mergeCell ref="Q49:Q50"/>
    <mergeCell ref="Q55:Q56"/>
    <mergeCell ref="Q77:Q78"/>
    <mergeCell ref="Q83:Q84"/>
    <mergeCell ref="R23:W23"/>
    <mergeCell ref="R24:W24"/>
    <mergeCell ref="R25:W25"/>
    <mergeCell ref="S34:T34"/>
    <mergeCell ref="R26:W27"/>
    <mergeCell ref="F10:G10"/>
    <mergeCell ref="F9:G9"/>
    <mergeCell ref="F21:G21"/>
    <mergeCell ref="F19:G19"/>
    <mergeCell ref="X8:X9"/>
    <mergeCell ref="F20:G20"/>
    <mergeCell ref="R17:W19"/>
    <mergeCell ref="X10:X11"/>
    <mergeCell ref="X12:X13"/>
    <mergeCell ref="R10:W11"/>
    <mergeCell ref="R12:W13"/>
    <mergeCell ref="R14:W16"/>
    <mergeCell ref="X14:X16"/>
    <mergeCell ref="R22:W22"/>
    <mergeCell ref="R7:W7"/>
    <mergeCell ref="R8:W9"/>
    <mergeCell ref="X17:X19"/>
    <mergeCell ref="R20:W20"/>
    <mergeCell ref="R21:W21"/>
  </mergeCells>
  <conditionalFormatting sqref="F34:H34">
    <cfRule type="containsText" dxfId="27" priority="108" operator="containsText" text="CORRECT">
      <formula>NOT(ISERROR(SEARCH("CORRECT",F34)))</formula>
    </cfRule>
  </conditionalFormatting>
  <conditionalFormatting sqref="S34:T34">
    <cfRule type="containsText" dxfId="26" priority="17" operator="containsText" text="NO DUPLICATES">
      <formula>NOT(ISERROR(SEARCH("NO DUPLICATES",S34)))</formula>
    </cfRule>
  </conditionalFormatting>
  <conditionalFormatting sqref="V34">
    <cfRule type="containsText" dxfId="25" priority="16" operator="containsText" text="CHECK">
      <formula>NOT(ISERROR(SEARCH("CHECK",V34)))</formula>
    </cfRule>
  </conditionalFormatting>
  <conditionalFormatting sqref="I32">
    <cfRule type="containsText" dxfId="24" priority="15" operator="containsText" text="CORRECT">
      <formula>NOT(ISERROR(SEARCH("CORRECT",I32)))</formula>
    </cfRule>
  </conditionalFormatting>
  <conditionalFormatting sqref="I33">
    <cfRule type="containsText" dxfId="23" priority="14" operator="containsText" text="CORRECT">
      <formula>NOT(ISERROR(SEARCH("CORRECT",I33)))</formula>
    </cfRule>
  </conditionalFormatting>
  <conditionalFormatting sqref="L34:N34">
    <cfRule type="containsText" dxfId="22" priority="13" operator="containsText" text="CORRECT">
      <formula>NOT(ISERROR(SEARCH("CORRECT",L34)))</formula>
    </cfRule>
  </conditionalFormatting>
  <conditionalFormatting sqref="O32">
    <cfRule type="containsText" dxfId="21" priority="12" operator="containsText" text="CORRECT">
      <formula>NOT(ISERROR(SEARCH("CORRECT",O32)))</formula>
    </cfRule>
  </conditionalFormatting>
  <conditionalFormatting sqref="O33">
    <cfRule type="containsText" dxfId="20" priority="11" operator="containsText" text="CORRECT">
      <formula>NOT(ISERROR(SEARCH("CORRECT",O33)))</formula>
    </cfRule>
  </conditionalFormatting>
  <conditionalFormatting sqref="J52">
    <cfRule type="cellIs" dxfId="19" priority="10" operator="equal">
      <formula>I51</formula>
    </cfRule>
  </conditionalFormatting>
  <conditionalFormatting sqref="P52">
    <cfRule type="cellIs" dxfId="18" priority="9" operator="equal">
      <formula>O51</formula>
    </cfRule>
  </conditionalFormatting>
  <conditionalFormatting sqref="V52">
    <cfRule type="cellIs" dxfId="17" priority="8" operator="equal">
      <formula>U51</formula>
    </cfRule>
  </conditionalFormatting>
  <conditionalFormatting sqref="J64">
    <cfRule type="cellIs" dxfId="16" priority="7" operator="equal">
      <formula>I63</formula>
    </cfRule>
  </conditionalFormatting>
  <conditionalFormatting sqref="V80">
    <cfRule type="cellIs" dxfId="15" priority="1" operator="equal">
      <formula>U79</formula>
    </cfRule>
  </conditionalFormatting>
  <conditionalFormatting sqref="J80">
    <cfRule type="cellIs" dxfId="14" priority="6" operator="equal">
      <formula>I79</formula>
    </cfRule>
  </conditionalFormatting>
  <conditionalFormatting sqref="J92">
    <cfRule type="cellIs" dxfId="13" priority="3" operator="equal">
      <formula>I91</formula>
    </cfRule>
  </conditionalFormatting>
  <conditionalFormatting sqref="P80">
    <cfRule type="cellIs" dxfId="12" priority="2" operator="equal">
      <formula>O79</formula>
    </cfRule>
  </conditionalFormatting>
  <dataValidations count="2">
    <dataValidation type="list" allowBlank="1" showInputMessage="1" showErrorMessage="1" sqref="H26">
      <formula1>$D$28:$D$31</formula1>
    </dataValidation>
    <dataValidation type="list" allowBlank="1" showInputMessage="1" showErrorMessage="1" sqref="I26:J26">
      <formula1>$D$28:$D$32</formula1>
    </dataValidation>
  </dataValidations>
  <pageMargins left="0.70866141732283472" right="0.70866141732283472" top="0.74803149606299213" bottom="0.74803149606299213" header="0.31496062992125984" footer="0.31496062992125984"/>
  <pageSetup paperSize="9" scale="34" orientation="portrait" r:id="rId1"/>
  <headerFooter>
    <oddFooter>&amp;L&amp;"Tahoma,Bold"www.intelligent-data-collection.com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9"/>
  <sheetViews>
    <sheetView view="pageBreakPreview" topLeftCell="B1" zoomScale="80" zoomScaleNormal="100" zoomScaleSheetLayoutView="80" workbookViewId="0">
      <selection activeCell="B1" sqref="B1"/>
    </sheetView>
  </sheetViews>
  <sheetFormatPr defaultRowHeight="12.75" x14ac:dyDescent="0.2"/>
  <cols>
    <col min="1" max="1" width="7.7109375" hidden="1" customWidth="1"/>
    <col min="2" max="18" width="7.7109375" customWidth="1"/>
  </cols>
  <sheetData>
    <row r="1" spans="1:17" ht="28.5" customHeight="1" x14ac:dyDescent="0.2">
      <c r="B1" s="188" t="s">
        <v>7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90"/>
    </row>
    <row r="2" spans="1:17" ht="13.5" customHeight="1" x14ac:dyDescent="0.2">
      <c r="B2" s="192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3"/>
    </row>
    <row r="3" spans="1:17" ht="13.5" customHeight="1" x14ac:dyDescent="0.2">
      <c r="A3" s="10"/>
      <c r="B3" s="95" t="str">
        <f>'Front Cover'!A61</f>
        <v>Client:</v>
      </c>
      <c r="C3" s="11"/>
      <c r="D3" s="11"/>
      <c r="E3" s="110" t="str">
        <f>'Internal Control-Check Sheet'!G3</f>
        <v>Bristol City Council</v>
      </c>
      <c r="F3" s="110"/>
      <c r="G3" s="109"/>
      <c r="H3" s="12" t="str">
        <f>'Front Cover'!A64</f>
        <v>Date of Survey:</v>
      </c>
      <c r="I3" s="109"/>
      <c r="J3" s="109"/>
      <c r="K3" s="111" t="str">
        <f>'Internal Control-Check Sheet'!L3</f>
        <v>09.07.2015</v>
      </c>
      <c r="L3" s="11"/>
      <c r="M3" s="11"/>
      <c r="N3" s="11"/>
      <c r="O3" s="11"/>
      <c r="P3" s="109"/>
      <c r="Q3" s="107"/>
    </row>
    <row r="4" spans="1:17" ht="13.5" customHeight="1" x14ac:dyDescent="0.2">
      <c r="A4" s="10"/>
      <c r="B4" s="95" t="str">
        <f>'Front Cover'!A62</f>
        <v>Project Number:</v>
      </c>
      <c r="C4" s="11"/>
      <c r="D4" s="11"/>
      <c r="E4" s="110" t="str">
        <f>'Internal Control-Check Sheet'!G4</f>
        <v>ID02343</v>
      </c>
      <c r="F4" s="113"/>
      <c r="G4" s="109"/>
      <c r="H4" s="12" t="str">
        <f>'Front Cover'!A65</f>
        <v>Site Name:</v>
      </c>
      <c r="I4" s="109"/>
      <c r="J4" s="109"/>
      <c r="K4" s="111" t="str">
        <f>'Internal Control-Check Sheet'!L4</f>
        <v>Robertson Road</v>
      </c>
      <c r="L4" s="11"/>
      <c r="M4" s="11"/>
      <c r="N4" s="11"/>
      <c r="O4" s="11"/>
      <c r="P4" s="109"/>
      <c r="Q4" s="107"/>
    </row>
    <row r="5" spans="1:17" s="10" customFormat="1" ht="13.5" customHeight="1" x14ac:dyDescent="0.2">
      <c r="B5" s="95" t="str">
        <f>'Front Cover'!A63</f>
        <v>Site Number:</v>
      </c>
      <c r="C5" s="11"/>
      <c r="D5" s="11"/>
      <c r="E5" s="110" t="str">
        <f>'Internal Control-Check Sheet'!G5</f>
        <v>ANPR Site 18</v>
      </c>
      <c r="F5" s="112"/>
      <c r="G5" s="11"/>
      <c r="H5" s="12" t="str">
        <f>'Front Cover'!A66</f>
        <v>Survey Type:</v>
      </c>
      <c r="I5" s="11"/>
      <c r="J5" s="11"/>
      <c r="K5" s="111" t="str">
        <f>'Internal Control-Check Sheet'!L5</f>
        <v>Two-way Link Count</v>
      </c>
      <c r="L5" s="11"/>
      <c r="M5" s="11"/>
      <c r="N5" s="11"/>
      <c r="O5" s="11"/>
      <c r="P5" s="11"/>
      <c r="Q5" s="24"/>
    </row>
    <row r="6" spans="1:17" s="10" customFormat="1" ht="13.5" customHeight="1" thickBot="1" x14ac:dyDescent="0.25">
      <c r="B6" s="95"/>
      <c r="C6" s="11"/>
      <c r="D6" s="11"/>
      <c r="E6" s="112"/>
      <c r="F6" s="112"/>
      <c r="G6" s="11"/>
      <c r="H6" s="12"/>
      <c r="I6" s="11"/>
      <c r="J6" s="11"/>
      <c r="K6" s="112"/>
      <c r="L6" s="11"/>
      <c r="M6" s="11"/>
      <c r="N6" s="11"/>
      <c r="O6" s="11"/>
      <c r="P6" s="11"/>
      <c r="Q6" s="24"/>
    </row>
    <row r="7" spans="1:17" s="10" customFormat="1" ht="13.5" customHeight="1" thickBot="1" x14ac:dyDescent="0.25">
      <c r="B7" s="328" t="s">
        <v>111</v>
      </c>
      <c r="C7" s="329"/>
      <c r="D7" s="329"/>
      <c r="E7" s="330"/>
      <c r="F7" s="328" t="s">
        <v>112</v>
      </c>
      <c r="G7" s="329"/>
      <c r="H7" s="329"/>
      <c r="I7" s="330"/>
      <c r="J7" s="328" t="s">
        <v>39</v>
      </c>
      <c r="K7" s="329"/>
      <c r="L7" s="329"/>
      <c r="M7" s="330"/>
      <c r="N7" s="328"/>
      <c r="O7" s="329"/>
      <c r="P7" s="329"/>
      <c r="Q7" s="330"/>
    </row>
    <row r="8" spans="1:17" s="10" customFormat="1" ht="13.5" customHeight="1" thickBot="1" x14ac:dyDescent="0.25">
      <c r="B8" s="310">
        <f>'Internal Control-Check Sheet'!F14</f>
        <v>51.469710999999997</v>
      </c>
      <c r="C8" s="311"/>
      <c r="D8" s="311"/>
      <c r="E8" s="312"/>
      <c r="F8" s="310">
        <f>'Internal Control-Check Sheet'!F15</f>
        <v>-2.5634579999999998</v>
      </c>
      <c r="G8" s="311"/>
      <c r="H8" s="311"/>
      <c r="I8" s="312"/>
      <c r="J8" s="331" t="str">
        <f>HYPERLINK(A17,"Click Here")</f>
        <v>Click Here</v>
      </c>
      <c r="K8" s="332"/>
      <c r="L8" s="332"/>
      <c r="M8" s="333"/>
      <c r="N8" s="310"/>
      <c r="O8" s="311"/>
      <c r="P8" s="311"/>
      <c r="Q8" s="312"/>
    </row>
    <row r="9" spans="1:17" s="10" customFormat="1" ht="13.5" customHeight="1" thickBot="1" x14ac:dyDescent="0.25">
      <c r="B9" s="328" t="s">
        <v>85</v>
      </c>
      <c r="C9" s="329"/>
      <c r="D9" s="329"/>
      <c r="E9" s="330"/>
      <c r="F9" s="328" t="s">
        <v>133</v>
      </c>
      <c r="G9" s="329"/>
      <c r="H9" s="329"/>
      <c r="I9" s="330"/>
      <c r="J9" s="328" t="s">
        <v>86</v>
      </c>
      <c r="K9" s="329"/>
      <c r="L9" s="329"/>
      <c r="M9" s="330"/>
      <c r="N9" s="328"/>
      <c r="O9" s="329"/>
      <c r="P9" s="329"/>
      <c r="Q9" s="330"/>
    </row>
    <row r="10" spans="1:17" s="10" customFormat="1" ht="13.5" customHeight="1" thickBot="1" x14ac:dyDescent="0.25">
      <c r="B10" s="310" t="str">
        <f>'Internal Control-Check Sheet'!F19</f>
        <v>Clear and Sunny</v>
      </c>
      <c r="C10" s="311"/>
      <c r="D10" s="311"/>
      <c r="E10" s="312"/>
      <c r="F10" s="310" t="str">
        <f>'Internal Control-Check Sheet'!F20</f>
        <v>Clear and Sunny</v>
      </c>
      <c r="G10" s="311"/>
      <c r="H10" s="311"/>
      <c r="I10" s="312"/>
      <c r="J10" s="310" t="str">
        <f>'Internal Control-Check Sheet'!F21</f>
        <v>Clear and Sunny</v>
      </c>
      <c r="K10" s="311"/>
      <c r="L10" s="311"/>
      <c r="M10" s="312"/>
      <c r="N10" s="310"/>
      <c r="O10" s="311"/>
      <c r="P10" s="311"/>
      <c r="Q10" s="312"/>
    </row>
    <row r="11" spans="1:17" s="10" customFormat="1" ht="13.5" customHeight="1" thickBot="1" x14ac:dyDescent="0.25">
      <c r="B11" s="325" t="s">
        <v>41</v>
      </c>
      <c r="C11" s="326"/>
      <c r="D11" s="326"/>
      <c r="E11" s="326"/>
      <c r="F11" s="326"/>
      <c r="G11" s="326"/>
      <c r="H11" s="326"/>
      <c r="I11" s="326"/>
      <c r="J11" s="326"/>
      <c r="K11" s="326"/>
      <c r="L11" s="326"/>
      <c r="M11" s="326"/>
      <c r="N11" s="326"/>
      <c r="O11" s="326"/>
      <c r="P11" s="326"/>
      <c r="Q11" s="327"/>
    </row>
    <row r="12" spans="1:17" s="10" customFormat="1" ht="13.5" customHeight="1" thickBot="1" x14ac:dyDescent="0.25">
      <c r="B12" s="23"/>
      <c r="C12" s="11"/>
      <c r="D12" s="11"/>
      <c r="E12" s="111"/>
      <c r="F12" s="112"/>
      <c r="G12" s="112"/>
      <c r="H12" s="11"/>
      <c r="I12" s="11"/>
      <c r="J12" s="11"/>
      <c r="K12" s="11"/>
      <c r="L12" s="11"/>
      <c r="M12" s="11"/>
      <c r="N12" s="11"/>
      <c r="O12" s="11"/>
      <c r="P12" s="11"/>
      <c r="Q12" s="24"/>
    </row>
    <row r="13" spans="1:17" s="10" customFormat="1" ht="13.5" customHeight="1" thickBot="1" x14ac:dyDescent="0.25">
      <c r="B13" s="23"/>
      <c r="C13" s="11"/>
      <c r="D13" s="11"/>
      <c r="E13" s="21"/>
      <c r="F13" s="94"/>
      <c r="G13" s="94"/>
      <c r="H13" s="94"/>
      <c r="I13" s="94"/>
      <c r="J13" s="94"/>
      <c r="K13" s="94"/>
      <c r="L13" s="94"/>
      <c r="M13" s="94"/>
      <c r="N13" s="22"/>
      <c r="O13" s="11"/>
      <c r="P13" s="11"/>
      <c r="Q13" s="24"/>
    </row>
    <row r="14" spans="1:17" s="10" customFormat="1" ht="13.5" customHeight="1" x14ac:dyDescent="0.2">
      <c r="A14" s="100" t="s">
        <v>37</v>
      </c>
      <c r="B14" s="23"/>
      <c r="C14" s="11"/>
      <c r="D14" s="11"/>
      <c r="E14" s="23"/>
      <c r="F14" s="93"/>
      <c r="G14" s="93"/>
      <c r="H14" s="93"/>
      <c r="K14" s="319" t="str">
        <f>CONCATENATE('Internal Control-Check Sheet'!E10," - ",'Internal Control-Check Sheet'!F10)</f>
        <v>Arm B - Robertson Road (N)</v>
      </c>
      <c r="L14" s="320"/>
      <c r="M14" s="93"/>
      <c r="N14" s="24"/>
      <c r="O14" s="11"/>
      <c r="P14" s="11"/>
      <c r="Q14" s="24"/>
    </row>
    <row r="15" spans="1:17" s="10" customFormat="1" ht="13.5" customHeight="1" x14ac:dyDescent="0.2">
      <c r="A15" s="100" t="str">
        <f>CONCATENATE(B8,",",F8)</f>
        <v>51.469711,-2.563458</v>
      </c>
      <c r="B15" s="23"/>
      <c r="C15" s="11"/>
      <c r="D15" s="11"/>
      <c r="E15" s="23"/>
      <c r="K15" s="321"/>
      <c r="L15" s="322"/>
      <c r="M15" s="93"/>
      <c r="N15" s="24"/>
      <c r="O15" s="11"/>
      <c r="P15" s="11"/>
      <c r="Q15" s="24"/>
    </row>
    <row r="16" spans="1:17" s="10" customFormat="1" ht="13.5" customHeight="1" thickBot="1" x14ac:dyDescent="0.25">
      <c r="A16" s="101" t="s">
        <v>38</v>
      </c>
      <c r="B16" s="23"/>
      <c r="C16" s="11"/>
      <c r="D16" s="11"/>
      <c r="E16" s="23"/>
      <c r="I16" s="93"/>
      <c r="J16" s="93"/>
      <c r="K16" s="323"/>
      <c r="L16" s="324"/>
      <c r="M16" s="93"/>
      <c r="N16" s="24"/>
      <c r="O16" s="11"/>
      <c r="P16" s="11"/>
      <c r="Q16" s="24"/>
    </row>
    <row r="17" spans="1:17" s="10" customFormat="1" ht="13.5" customHeight="1" x14ac:dyDescent="0.2">
      <c r="A17" s="100" t="str">
        <f>CONCATENATE(A14,A15,A16)</f>
        <v>http://maps.google.co.uk/maps?hl=en&amp;safe=off&amp;q=51.469711,-2.563458&amp;cr=countryUK|countryGB&amp;um=1&amp;ie=UTF-8&amp;sa=N&amp;tab=wl</v>
      </c>
      <c r="B17" s="23"/>
      <c r="C17" s="11"/>
      <c r="D17" s="11"/>
      <c r="E17" s="23"/>
      <c r="I17" s="93"/>
      <c r="J17" s="93"/>
      <c r="K17" s="93"/>
      <c r="L17" s="93"/>
      <c r="M17" s="93"/>
      <c r="N17" s="24"/>
      <c r="O17" s="11"/>
      <c r="P17" s="11"/>
      <c r="Q17" s="24"/>
    </row>
    <row r="18" spans="1:17" s="10" customFormat="1" ht="13.5" customHeight="1" x14ac:dyDescent="0.2">
      <c r="B18" s="23"/>
      <c r="C18" s="11"/>
      <c r="D18" s="11"/>
      <c r="E18" s="23"/>
      <c r="I18" s="93"/>
      <c r="J18" s="93"/>
      <c r="K18" s="93"/>
      <c r="L18" s="93"/>
      <c r="M18" s="93"/>
      <c r="N18" s="24"/>
      <c r="O18" s="11"/>
      <c r="P18" s="11"/>
      <c r="Q18" s="24"/>
    </row>
    <row r="19" spans="1:17" s="10" customFormat="1" ht="13.5" customHeight="1" x14ac:dyDescent="0.2">
      <c r="B19" s="23"/>
      <c r="C19" s="11"/>
      <c r="D19" s="11"/>
      <c r="E19" s="23"/>
      <c r="F19" s="93"/>
      <c r="G19" s="11"/>
      <c r="H19" s="11"/>
      <c r="I19" s="93"/>
      <c r="J19" s="93"/>
      <c r="K19" s="93"/>
      <c r="L19" s="93"/>
      <c r="M19" s="93"/>
      <c r="N19" s="98"/>
      <c r="O19" s="11"/>
      <c r="P19" s="11"/>
      <c r="Q19" s="24"/>
    </row>
    <row r="20" spans="1:17" s="10" customFormat="1" ht="13.5" customHeight="1" x14ac:dyDescent="0.2">
      <c r="B20" s="23"/>
      <c r="C20" s="11"/>
      <c r="D20" s="11"/>
      <c r="E20" s="23"/>
      <c r="F20" s="11"/>
      <c r="G20" s="11"/>
      <c r="H20" s="11"/>
      <c r="I20" s="93"/>
      <c r="J20" s="93"/>
      <c r="K20" s="11"/>
      <c r="N20" s="98"/>
      <c r="O20" s="11"/>
      <c r="P20" s="11"/>
      <c r="Q20" s="24"/>
    </row>
    <row r="21" spans="1:17" s="10" customFormat="1" ht="13.5" customHeight="1" x14ac:dyDescent="0.2">
      <c r="B21" s="23"/>
      <c r="C21" s="11"/>
      <c r="D21" s="11"/>
      <c r="E21" s="23"/>
      <c r="F21" s="11"/>
      <c r="G21" s="11"/>
      <c r="H21" s="93"/>
      <c r="I21" s="93"/>
      <c r="J21" s="93"/>
      <c r="K21" s="11"/>
      <c r="N21" s="24"/>
      <c r="O21" s="11"/>
      <c r="P21" s="11"/>
      <c r="Q21" s="24"/>
    </row>
    <row r="22" spans="1:17" s="10" customFormat="1" ht="13.5" customHeight="1" x14ac:dyDescent="0.2">
      <c r="B22" s="23"/>
      <c r="C22" s="11"/>
      <c r="D22" s="11"/>
      <c r="E22" s="23"/>
      <c r="H22" s="11"/>
      <c r="I22" s="93"/>
      <c r="J22" s="93"/>
      <c r="K22" s="11"/>
      <c r="N22" s="24"/>
      <c r="O22" s="11"/>
      <c r="P22" s="11"/>
      <c r="Q22" s="24"/>
    </row>
    <row r="23" spans="1:17" s="10" customFormat="1" ht="13.5" customHeight="1" x14ac:dyDescent="0.2">
      <c r="B23" s="23"/>
      <c r="C23" s="11"/>
      <c r="D23" s="11"/>
      <c r="E23" s="23"/>
      <c r="H23" s="11"/>
      <c r="I23" s="93"/>
      <c r="J23" s="93"/>
      <c r="K23" s="11"/>
      <c r="L23" s="11"/>
      <c r="M23" s="93"/>
      <c r="N23" s="24"/>
      <c r="O23" s="11"/>
      <c r="P23" s="11"/>
      <c r="Q23" s="24"/>
    </row>
    <row r="24" spans="1:17" s="10" customFormat="1" ht="13.5" customHeight="1" x14ac:dyDescent="0.2">
      <c r="B24" s="23"/>
      <c r="C24" s="11"/>
      <c r="D24" s="11"/>
      <c r="E24" s="23"/>
      <c r="F24" s="11"/>
      <c r="G24" s="11"/>
      <c r="H24" s="11"/>
      <c r="I24" s="93"/>
      <c r="J24" s="93"/>
      <c r="K24" s="11"/>
      <c r="L24" s="11"/>
      <c r="M24" s="93"/>
      <c r="N24" s="24"/>
      <c r="O24" s="11"/>
      <c r="P24" s="11"/>
      <c r="Q24" s="24"/>
    </row>
    <row r="25" spans="1:17" s="10" customFormat="1" ht="13.5" customHeight="1" x14ac:dyDescent="0.2">
      <c r="B25" s="23"/>
      <c r="C25" s="11"/>
      <c r="D25" s="11"/>
      <c r="E25" s="23"/>
      <c r="H25" s="93"/>
      <c r="I25" s="93"/>
      <c r="J25" s="93"/>
      <c r="K25" s="93"/>
      <c r="L25" s="93"/>
      <c r="M25" s="93"/>
      <c r="N25" s="24"/>
      <c r="O25" s="11"/>
      <c r="P25" s="11"/>
      <c r="Q25" s="24"/>
    </row>
    <row r="26" spans="1:17" s="10" customFormat="1" ht="13.5" customHeight="1" x14ac:dyDescent="0.2">
      <c r="B26" s="23"/>
      <c r="C26" s="11"/>
      <c r="D26" s="11"/>
      <c r="E26" s="23"/>
      <c r="H26" s="93"/>
      <c r="I26" s="93"/>
      <c r="J26" s="93"/>
      <c r="K26" s="93"/>
      <c r="N26" s="24"/>
      <c r="O26" s="11"/>
      <c r="P26" s="11"/>
      <c r="Q26" s="24"/>
    </row>
    <row r="27" spans="1:17" s="10" customFormat="1" ht="13.5" customHeight="1" x14ac:dyDescent="0.2">
      <c r="B27" s="23"/>
      <c r="C27" s="11"/>
      <c r="D27" s="11"/>
      <c r="E27" s="23"/>
      <c r="H27" s="93"/>
      <c r="I27" s="93"/>
      <c r="J27" s="93"/>
      <c r="N27" s="24"/>
      <c r="O27" s="11"/>
      <c r="P27" s="11"/>
      <c r="Q27" s="24"/>
    </row>
    <row r="28" spans="1:17" s="10" customFormat="1" ht="13.5" customHeight="1" x14ac:dyDescent="0.2">
      <c r="B28" s="23"/>
      <c r="C28" s="11"/>
      <c r="D28" s="11"/>
      <c r="E28" s="23"/>
      <c r="F28" s="93"/>
      <c r="G28" s="93"/>
      <c r="H28" s="93"/>
      <c r="I28" s="93"/>
      <c r="J28" s="93"/>
      <c r="N28" s="98"/>
      <c r="O28" s="11"/>
      <c r="P28" s="11"/>
      <c r="Q28" s="24"/>
    </row>
    <row r="29" spans="1:17" s="10" customFormat="1" ht="13.5" customHeight="1" x14ac:dyDescent="0.2">
      <c r="B29" s="23"/>
      <c r="C29" s="11"/>
      <c r="D29" s="11"/>
      <c r="E29" s="23"/>
      <c r="F29" s="93"/>
      <c r="G29" s="93"/>
      <c r="H29" s="93"/>
      <c r="I29" s="93"/>
      <c r="J29" s="93"/>
      <c r="K29" s="93"/>
      <c r="N29" s="98"/>
      <c r="O29" s="11"/>
      <c r="P29" s="11"/>
      <c r="Q29" s="24"/>
    </row>
    <row r="30" spans="1:17" s="10" customFormat="1" ht="13.5" customHeight="1" x14ac:dyDescent="0.2">
      <c r="B30" s="23"/>
      <c r="C30" s="11"/>
      <c r="D30" s="11"/>
      <c r="E30" s="23"/>
      <c r="F30" s="93"/>
      <c r="G30" s="93"/>
      <c r="H30" s="93"/>
      <c r="I30" s="93"/>
      <c r="J30" s="93"/>
      <c r="K30" s="93"/>
      <c r="N30" s="98"/>
      <c r="O30" s="11"/>
      <c r="P30" s="11"/>
      <c r="Q30" s="24"/>
    </row>
    <row r="31" spans="1:17" s="10" customFormat="1" ht="13.5" customHeight="1" x14ac:dyDescent="0.2">
      <c r="B31" s="23"/>
      <c r="C31" s="11"/>
      <c r="D31" s="11"/>
      <c r="E31" s="23"/>
      <c r="F31" s="93"/>
      <c r="G31" s="93"/>
      <c r="H31" s="11"/>
      <c r="I31" s="11"/>
      <c r="J31" s="93"/>
      <c r="K31" s="93"/>
      <c r="L31" s="93"/>
      <c r="M31" s="93"/>
      <c r="N31" s="98"/>
      <c r="O31" s="11"/>
      <c r="P31" s="11"/>
      <c r="Q31" s="24"/>
    </row>
    <row r="32" spans="1:17" s="10" customFormat="1" ht="13.5" customHeight="1" thickBot="1" x14ac:dyDescent="0.25">
      <c r="B32" s="23"/>
      <c r="C32" s="11"/>
      <c r="D32" s="11"/>
      <c r="E32" s="23"/>
      <c r="F32" s="93"/>
      <c r="G32" s="93"/>
      <c r="H32" s="11"/>
      <c r="K32" s="93"/>
      <c r="L32" s="93"/>
      <c r="M32" s="93"/>
      <c r="N32" s="98"/>
      <c r="O32" s="11"/>
      <c r="P32" s="11"/>
      <c r="Q32" s="24"/>
    </row>
    <row r="33" spans="2:17" s="10" customFormat="1" ht="13.5" customHeight="1" x14ac:dyDescent="0.2">
      <c r="B33" s="23"/>
      <c r="C33" s="11"/>
      <c r="D33" s="11"/>
      <c r="E33" s="23"/>
      <c r="F33" s="12"/>
      <c r="G33" s="313" t="str">
        <f>CONCATENATE('Internal Control-Check Sheet'!E9," - ",'Internal Control-Check Sheet'!F9)</f>
        <v>Arm A - Robertson Road (S)</v>
      </c>
      <c r="H33" s="314"/>
      <c r="K33" s="12"/>
      <c r="L33" s="11"/>
      <c r="M33" s="11"/>
      <c r="N33" s="98"/>
      <c r="O33" s="11"/>
      <c r="P33" s="11"/>
      <c r="Q33" s="24"/>
    </row>
    <row r="34" spans="2:17" s="10" customFormat="1" ht="13.5" customHeight="1" x14ac:dyDescent="0.2">
      <c r="B34" s="23"/>
      <c r="C34" s="11"/>
      <c r="D34" s="11"/>
      <c r="E34" s="23"/>
      <c r="F34" s="12"/>
      <c r="G34" s="315"/>
      <c r="H34" s="316"/>
      <c r="K34" s="12"/>
      <c r="L34" s="11"/>
      <c r="M34" s="11"/>
      <c r="N34" s="98"/>
      <c r="O34" s="11"/>
      <c r="P34" s="11"/>
      <c r="Q34" s="24"/>
    </row>
    <row r="35" spans="2:17" s="10" customFormat="1" ht="13.5" customHeight="1" thickBot="1" x14ac:dyDescent="0.25">
      <c r="B35" s="23"/>
      <c r="C35" s="11"/>
      <c r="D35" s="11"/>
      <c r="E35" s="95"/>
      <c r="F35" s="12"/>
      <c r="G35" s="317"/>
      <c r="H35" s="318"/>
      <c r="K35" s="12"/>
      <c r="L35" s="12"/>
      <c r="M35" s="12"/>
      <c r="N35" s="98"/>
      <c r="O35" s="11"/>
      <c r="P35" s="11"/>
      <c r="Q35" s="24"/>
    </row>
    <row r="36" spans="2:17" s="10" customFormat="1" ht="13.5" customHeight="1" thickBot="1" x14ac:dyDescent="0.25">
      <c r="B36" s="23"/>
      <c r="C36" s="11"/>
      <c r="D36" s="11"/>
      <c r="E36" s="96"/>
      <c r="F36" s="97"/>
      <c r="G36" s="97"/>
      <c r="H36" s="97"/>
      <c r="I36" s="97"/>
      <c r="J36" s="97"/>
      <c r="K36" s="97"/>
      <c r="L36" s="97"/>
      <c r="M36" s="97"/>
      <c r="N36" s="99"/>
      <c r="O36" s="11"/>
      <c r="P36" s="11"/>
      <c r="Q36" s="24"/>
    </row>
    <row r="37" spans="2:17" s="10" customFormat="1" ht="13.5" customHeight="1" thickBot="1" x14ac:dyDescent="0.25">
      <c r="B37" s="25"/>
      <c r="C37" s="26"/>
      <c r="D37" s="26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26"/>
      <c r="P37" s="26"/>
      <c r="Q37" s="115"/>
    </row>
    <row r="38" spans="2:17" s="10" customFormat="1" ht="13.5" customHeight="1" thickBot="1" x14ac:dyDescent="0.25">
      <c r="B38" s="325" t="s">
        <v>42</v>
      </c>
      <c r="C38" s="326"/>
      <c r="D38" s="326"/>
      <c r="E38" s="326"/>
      <c r="F38" s="326"/>
      <c r="G38" s="326"/>
      <c r="H38" s="326"/>
      <c r="I38" s="326"/>
      <c r="J38" s="326"/>
      <c r="K38" s="326"/>
      <c r="L38" s="326"/>
      <c r="M38" s="326"/>
      <c r="N38" s="326"/>
      <c r="O38" s="326"/>
      <c r="P38" s="326"/>
      <c r="Q38" s="327"/>
    </row>
    <row r="39" spans="2:17" s="10" customFormat="1" ht="13.5" customHeight="1" x14ac:dyDescent="0.2">
      <c r="B39" s="102"/>
      <c r="C39" s="103"/>
      <c r="D39" s="103"/>
      <c r="E39" s="103"/>
      <c r="F39" s="103"/>
      <c r="G39" s="103"/>
      <c r="H39" s="103"/>
      <c r="I39" s="22"/>
      <c r="J39" s="102"/>
      <c r="K39" s="103"/>
      <c r="L39" s="103"/>
      <c r="M39" s="103"/>
      <c r="N39" s="103"/>
      <c r="O39" s="103"/>
      <c r="P39" s="103"/>
      <c r="Q39" s="22"/>
    </row>
    <row r="40" spans="2:17" s="10" customFormat="1" ht="13.5" customHeight="1" x14ac:dyDescent="0.2">
      <c r="B40" s="95"/>
      <c r="C40" s="12"/>
      <c r="D40" s="12"/>
      <c r="E40" s="12"/>
      <c r="F40" s="12"/>
      <c r="G40" s="12"/>
      <c r="H40" s="12"/>
      <c r="I40" s="24"/>
      <c r="J40" s="95"/>
      <c r="K40" s="12"/>
      <c r="L40" s="12"/>
      <c r="M40" s="12"/>
      <c r="N40" s="12"/>
      <c r="O40" s="12"/>
      <c r="P40" s="12"/>
      <c r="Q40" s="24"/>
    </row>
    <row r="41" spans="2:17" s="10" customFormat="1" ht="13.5" customHeight="1" x14ac:dyDescent="0.2">
      <c r="B41" s="23"/>
      <c r="C41" s="11"/>
      <c r="D41" s="11"/>
      <c r="E41" s="11"/>
      <c r="F41" s="11"/>
      <c r="G41" s="11"/>
      <c r="H41" s="11"/>
      <c r="I41" s="24"/>
      <c r="J41" s="23"/>
      <c r="K41" s="11"/>
      <c r="L41" s="11"/>
      <c r="M41" s="11"/>
      <c r="N41" s="11"/>
      <c r="O41" s="11"/>
      <c r="P41" s="11"/>
      <c r="Q41" s="24"/>
    </row>
    <row r="42" spans="2:17" s="10" customFormat="1" ht="13.5" customHeight="1" x14ac:dyDescent="0.2">
      <c r="B42" s="104"/>
      <c r="C42" s="11"/>
      <c r="D42" s="11"/>
      <c r="E42" s="11"/>
      <c r="F42" s="11"/>
      <c r="G42" s="11"/>
      <c r="H42" s="105"/>
      <c r="I42" s="24"/>
      <c r="J42" s="104"/>
      <c r="K42" s="11"/>
      <c r="L42" s="11"/>
      <c r="M42" s="11"/>
      <c r="N42" s="11"/>
      <c r="O42" s="11"/>
      <c r="P42" s="105"/>
      <c r="Q42" s="24"/>
    </row>
    <row r="43" spans="2:17" s="10" customFormat="1" ht="13.5" customHeight="1" x14ac:dyDescent="0.2">
      <c r="B43" s="23"/>
      <c r="C43" s="77"/>
      <c r="D43" s="77"/>
      <c r="E43" s="11"/>
      <c r="F43" s="11"/>
      <c r="G43" s="11"/>
      <c r="H43" s="106"/>
      <c r="I43" s="24"/>
      <c r="J43" s="23"/>
      <c r="K43" s="77"/>
      <c r="L43" s="77"/>
      <c r="M43" s="11"/>
      <c r="N43" s="11"/>
      <c r="O43" s="11"/>
      <c r="P43" s="106"/>
      <c r="Q43" s="24"/>
    </row>
    <row r="44" spans="2:17" s="10" customFormat="1" ht="13.5" customHeight="1" x14ac:dyDescent="0.2">
      <c r="B44" s="23"/>
      <c r="C44" s="11"/>
      <c r="D44" s="11"/>
      <c r="E44" s="11"/>
      <c r="F44" s="11"/>
      <c r="G44" s="11"/>
      <c r="H44" s="11"/>
      <c r="I44" s="24"/>
      <c r="J44" s="23"/>
      <c r="K44" s="11"/>
      <c r="L44" s="11"/>
      <c r="M44" s="11"/>
      <c r="N44" s="11"/>
      <c r="O44" s="11"/>
      <c r="P44" s="11"/>
      <c r="Q44" s="24"/>
    </row>
    <row r="45" spans="2:17" s="10" customFormat="1" ht="13.5" customHeight="1" x14ac:dyDescent="0.2">
      <c r="B45" s="23"/>
      <c r="C45" s="11"/>
      <c r="D45" s="11"/>
      <c r="E45" s="11"/>
      <c r="F45" s="11"/>
      <c r="G45" s="11"/>
      <c r="H45" s="11"/>
      <c r="I45" s="24"/>
      <c r="J45" s="23"/>
      <c r="K45" s="11"/>
      <c r="L45" s="11"/>
      <c r="M45" s="11"/>
      <c r="N45" s="11"/>
      <c r="O45" s="11"/>
      <c r="P45" s="11"/>
      <c r="Q45" s="24"/>
    </row>
    <row r="46" spans="2:17" s="10" customFormat="1" ht="13.5" customHeight="1" x14ac:dyDescent="0.2">
      <c r="B46" s="23"/>
      <c r="C46" s="11"/>
      <c r="D46" s="11"/>
      <c r="E46" s="11"/>
      <c r="F46" s="11"/>
      <c r="G46" s="11"/>
      <c r="H46" s="11"/>
      <c r="I46" s="24"/>
      <c r="J46" s="23"/>
      <c r="K46" s="11"/>
      <c r="L46" s="11"/>
      <c r="M46" s="11"/>
      <c r="N46" s="11"/>
      <c r="O46" s="11"/>
      <c r="P46" s="11"/>
      <c r="Q46" s="24"/>
    </row>
    <row r="47" spans="2:17" s="10" customFormat="1" ht="13.5" customHeight="1" x14ac:dyDescent="0.2">
      <c r="B47" s="23"/>
      <c r="C47" s="11"/>
      <c r="D47" s="11"/>
      <c r="E47" s="11"/>
      <c r="F47" s="11"/>
      <c r="G47" s="11"/>
      <c r="H47" s="11"/>
      <c r="I47" s="24"/>
      <c r="J47" s="23"/>
      <c r="K47" s="11"/>
      <c r="L47" s="11"/>
      <c r="M47" s="11"/>
      <c r="N47" s="11"/>
      <c r="O47" s="11"/>
      <c r="P47" s="11"/>
      <c r="Q47" s="24"/>
    </row>
    <row r="48" spans="2:17" s="10" customFormat="1" ht="13.5" customHeight="1" x14ac:dyDescent="0.2">
      <c r="B48" s="23"/>
      <c r="C48" s="11"/>
      <c r="D48" s="11"/>
      <c r="E48" s="11"/>
      <c r="F48" s="11"/>
      <c r="G48" s="11"/>
      <c r="H48" s="11"/>
      <c r="I48" s="24"/>
      <c r="J48" s="23"/>
      <c r="K48" s="11"/>
      <c r="L48" s="11"/>
      <c r="M48" s="11"/>
      <c r="N48" s="11"/>
      <c r="O48" s="11"/>
      <c r="P48" s="11"/>
      <c r="Q48" s="24"/>
    </row>
    <row r="49" spans="1:17" s="10" customFormat="1" ht="13.5" customHeight="1" x14ac:dyDescent="0.2">
      <c r="B49" s="23"/>
      <c r="C49" s="11"/>
      <c r="D49" s="11"/>
      <c r="E49" s="11"/>
      <c r="F49" s="11"/>
      <c r="G49" s="11"/>
      <c r="H49" s="11"/>
      <c r="I49" s="24"/>
      <c r="J49" s="23"/>
      <c r="K49" s="11"/>
      <c r="L49" s="11"/>
      <c r="M49" s="11"/>
      <c r="N49" s="11"/>
      <c r="O49" s="11"/>
      <c r="P49" s="11"/>
      <c r="Q49" s="24"/>
    </row>
    <row r="50" spans="1:17" s="10" customFormat="1" ht="13.5" customHeight="1" x14ac:dyDescent="0.2">
      <c r="B50" s="23"/>
      <c r="C50" s="11"/>
      <c r="D50" s="11"/>
      <c r="E50" s="11"/>
      <c r="F50" s="11"/>
      <c r="G50" s="11"/>
      <c r="H50" s="11"/>
      <c r="I50" s="24"/>
      <c r="J50" s="23"/>
      <c r="K50" s="11"/>
      <c r="L50" s="11"/>
      <c r="M50" s="11"/>
      <c r="N50" s="11"/>
      <c r="O50" s="11"/>
      <c r="P50" s="11"/>
      <c r="Q50" s="24"/>
    </row>
    <row r="51" spans="1:17" s="10" customFormat="1" ht="13.5" customHeight="1" x14ac:dyDescent="0.2">
      <c r="B51" s="23"/>
      <c r="C51" s="11"/>
      <c r="D51" s="11"/>
      <c r="E51" s="11"/>
      <c r="F51" s="11"/>
      <c r="G51" s="11"/>
      <c r="H51" s="11"/>
      <c r="I51" s="24"/>
      <c r="J51" s="23"/>
      <c r="K51" s="11"/>
      <c r="L51" s="11"/>
      <c r="M51" s="11"/>
      <c r="N51" s="11"/>
      <c r="O51" s="11"/>
      <c r="P51" s="11"/>
      <c r="Q51" s="24"/>
    </row>
    <row r="52" spans="1:17" s="10" customFormat="1" ht="13.5" customHeight="1" x14ac:dyDescent="0.2">
      <c r="B52" s="23"/>
      <c r="C52" s="11"/>
      <c r="D52" s="11"/>
      <c r="E52" s="11"/>
      <c r="F52" s="11"/>
      <c r="G52" s="11"/>
      <c r="H52" s="11"/>
      <c r="I52" s="24"/>
      <c r="J52" s="23"/>
      <c r="K52" s="11"/>
      <c r="L52" s="11"/>
      <c r="M52" s="11"/>
      <c r="N52" s="11"/>
      <c r="O52" s="11"/>
      <c r="P52" s="11"/>
      <c r="Q52" s="24"/>
    </row>
    <row r="53" spans="1:17" s="10" customFormat="1" ht="13.5" customHeight="1" x14ac:dyDescent="0.2">
      <c r="B53" s="23"/>
      <c r="C53" s="11"/>
      <c r="D53" s="11"/>
      <c r="E53" s="11"/>
      <c r="F53" s="11"/>
      <c r="G53" s="11"/>
      <c r="H53" s="11"/>
      <c r="I53" s="24"/>
      <c r="J53" s="23"/>
      <c r="K53" s="11"/>
      <c r="L53" s="11"/>
      <c r="M53" s="11"/>
      <c r="N53" s="11"/>
      <c r="O53" s="11"/>
      <c r="P53" s="11"/>
      <c r="Q53" s="24"/>
    </row>
    <row r="54" spans="1:17" s="10" customFormat="1" ht="13.5" customHeight="1" x14ac:dyDescent="0.2">
      <c r="B54" s="23"/>
      <c r="C54" s="11"/>
      <c r="D54" s="11"/>
      <c r="E54" s="11"/>
      <c r="F54" s="11"/>
      <c r="G54" s="11"/>
      <c r="H54" s="11"/>
      <c r="I54" s="24"/>
      <c r="J54" s="23"/>
      <c r="K54" s="11"/>
      <c r="L54" s="11"/>
      <c r="M54" s="11"/>
      <c r="N54" s="11"/>
      <c r="O54" s="11"/>
      <c r="P54" s="11"/>
      <c r="Q54" s="24"/>
    </row>
    <row r="55" spans="1:17" s="10" customFormat="1" ht="13.5" customHeight="1" x14ac:dyDescent="0.2">
      <c r="B55" s="23"/>
      <c r="C55" s="11"/>
      <c r="D55" s="11"/>
      <c r="E55" s="11"/>
      <c r="F55" s="11"/>
      <c r="G55" s="11"/>
      <c r="H55" s="11"/>
      <c r="I55" s="24"/>
      <c r="J55" s="23"/>
      <c r="K55" s="11"/>
      <c r="L55" s="11"/>
      <c r="M55" s="11"/>
      <c r="N55" s="11"/>
      <c r="O55" s="11"/>
      <c r="P55" s="11"/>
      <c r="Q55" s="24"/>
    </row>
    <row r="56" spans="1:17" s="10" customFormat="1" ht="13.5" customHeight="1" x14ac:dyDescent="0.2">
      <c r="B56" s="23"/>
      <c r="C56" s="11"/>
      <c r="D56" s="11"/>
      <c r="E56" s="11"/>
      <c r="F56" s="11"/>
      <c r="G56" s="11"/>
      <c r="H56" s="11"/>
      <c r="I56" s="24"/>
      <c r="J56" s="23"/>
      <c r="K56" s="11"/>
      <c r="L56" s="11"/>
      <c r="M56" s="11"/>
      <c r="N56" s="11"/>
      <c r="O56" s="11"/>
      <c r="P56" s="11"/>
      <c r="Q56" s="24"/>
    </row>
    <row r="57" spans="1:17" ht="13.5" customHeight="1" x14ac:dyDescent="0.2">
      <c r="A57" s="10"/>
      <c r="B57" s="23"/>
      <c r="C57" s="11"/>
      <c r="D57" s="11"/>
      <c r="E57" s="11"/>
      <c r="F57" s="11"/>
      <c r="G57" s="11"/>
      <c r="H57" s="11"/>
      <c r="I57" s="107"/>
      <c r="J57" s="23"/>
      <c r="K57" s="11"/>
      <c r="L57" s="11"/>
      <c r="M57" s="11"/>
      <c r="N57" s="11"/>
      <c r="O57" s="11"/>
      <c r="P57" s="11"/>
      <c r="Q57" s="107"/>
    </row>
    <row r="58" spans="1:17" ht="13.5" customHeight="1" thickBot="1" x14ac:dyDescent="0.25">
      <c r="A58" s="10"/>
      <c r="B58" s="25"/>
      <c r="C58" s="26"/>
      <c r="D58" s="26"/>
      <c r="E58" s="26"/>
      <c r="F58" s="26"/>
      <c r="G58" s="26"/>
      <c r="H58" s="26"/>
      <c r="I58" s="108"/>
      <c r="J58" s="25"/>
      <c r="K58" s="26"/>
      <c r="L58" s="26"/>
      <c r="M58" s="26"/>
      <c r="N58" s="26"/>
      <c r="O58" s="26"/>
      <c r="P58" s="26"/>
      <c r="Q58" s="108"/>
    </row>
    <row r="59" spans="1:17" ht="13.5" customHeight="1" thickBot="1" x14ac:dyDescent="0.25">
      <c r="A59" s="10"/>
      <c r="B59" s="325" t="s">
        <v>43</v>
      </c>
      <c r="C59" s="326"/>
      <c r="D59" s="326"/>
      <c r="E59" s="326"/>
      <c r="F59" s="326"/>
      <c r="G59" s="326"/>
      <c r="H59" s="326"/>
      <c r="I59" s="326"/>
      <c r="J59" s="326"/>
      <c r="K59" s="326"/>
      <c r="L59" s="326"/>
      <c r="M59" s="326"/>
      <c r="N59" s="326"/>
      <c r="O59" s="326"/>
      <c r="P59" s="326"/>
      <c r="Q59" s="327"/>
    </row>
    <row r="60" spans="1:17" ht="13.5" customHeight="1" x14ac:dyDescent="0.2">
      <c r="A60" s="10"/>
      <c r="B60" s="23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09"/>
      <c r="Q60" s="107"/>
    </row>
    <row r="61" spans="1:17" ht="13.5" customHeight="1" x14ac:dyDescent="0.2">
      <c r="A61" s="10"/>
      <c r="B61" s="2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09"/>
      <c r="Q61" s="107"/>
    </row>
    <row r="62" spans="1:17" ht="13.5" customHeight="1" x14ac:dyDescent="0.2">
      <c r="A62" s="10"/>
      <c r="B62" s="2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09"/>
      <c r="Q62" s="107"/>
    </row>
    <row r="63" spans="1:17" ht="13.5" customHeight="1" x14ac:dyDescent="0.2">
      <c r="A63" s="10"/>
      <c r="B63" s="114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1"/>
      <c r="O63" s="11"/>
      <c r="P63" s="109"/>
      <c r="Q63" s="107"/>
    </row>
    <row r="64" spans="1:17" ht="13.5" customHeight="1" x14ac:dyDescent="0.2">
      <c r="A64" s="10"/>
      <c r="B64" s="114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1"/>
      <c r="O64" s="11"/>
      <c r="P64" s="109"/>
      <c r="Q64" s="107"/>
    </row>
    <row r="65" spans="1:17" ht="13.5" customHeight="1" x14ac:dyDescent="0.2">
      <c r="A65" s="10"/>
      <c r="B65" s="114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1"/>
      <c r="O65" s="11"/>
      <c r="P65" s="109"/>
      <c r="Q65" s="107"/>
    </row>
    <row r="66" spans="1:17" ht="13.5" customHeight="1" x14ac:dyDescent="0.2">
      <c r="A66" s="10"/>
      <c r="B66" s="114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1"/>
      <c r="O66" s="11"/>
      <c r="P66" s="109"/>
      <c r="Q66" s="107"/>
    </row>
    <row r="67" spans="1:17" ht="13.5" customHeight="1" x14ac:dyDescent="0.2">
      <c r="A67" s="10"/>
      <c r="B67" s="114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1"/>
      <c r="O67" s="11"/>
      <c r="P67" s="109"/>
      <c r="Q67" s="107"/>
    </row>
    <row r="68" spans="1:17" ht="13.5" customHeight="1" x14ac:dyDescent="0.2">
      <c r="A68" s="10"/>
      <c r="B68" s="114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1"/>
      <c r="O68" s="11"/>
      <c r="P68" s="109"/>
      <c r="Q68" s="107"/>
    </row>
    <row r="69" spans="1:17" ht="13.5" customHeight="1" x14ac:dyDescent="0.2">
      <c r="A69" s="10"/>
      <c r="B69" s="114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1"/>
      <c r="O69" s="11"/>
      <c r="P69" s="109"/>
      <c r="Q69" s="107"/>
    </row>
    <row r="70" spans="1:17" ht="13.5" customHeight="1" x14ac:dyDescent="0.2">
      <c r="A70" s="10"/>
      <c r="B70" s="114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1"/>
      <c r="O70" s="11"/>
      <c r="P70" s="109"/>
      <c r="Q70" s="107"/>
    </row>
    <row r="71" spans="1:17" ht="13.5" customHeight="1" x14ac:dyDescent="0.2">
      <c r="A71" s="10"/>
      <c r="B71" s="114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1"/>
      <c r="O71" s="11"/>
      <c r="P71" s="109"/>
      <c r="Q71" s="107"/>
    </row>
    <row r="72" spans="1:17" ht="13.5" customHeight="1" x14ac:dyDescent="0.2">
      <c r="A72" s="10"/>
      <c r="B72" s="114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1"/>
      <c r="O72" s="11"/>
      <c r="P72" s="109"/>
      <c r="Q72" s="107"/>
    </row>
    <row r="73" spans="1:17" ht="13.5" customHeight="1" x14ac:dyDescent="0.2">
      <c r="A73" s="10"/>
      <c r="B73" s="114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1"/>
      <c r="O73" s="11"/>
      <c r="P73" s="109"/>
      <c r="Q73" s="107"/>
    </row>
    <row r="74" spans="1:17" ht="13.5" customHeight="1" x14ac:dyDescent="0.2">
      <c r="A74" s="10"/>
      <c r="B74" s="23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09"/>
      <c r="Q74" s="107"/>
    </row>
    <row r="75" spans="1:17" ht="13.5" customHeight="1" x14ac:dyDescent="0.2">
      <c r="A75" s="10"/>
      <c r="B75" s="23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09"/>
      <c r="Q75" s="107"/>
    </row>
    <row r="76" spans="1:17" ht="13.5" customHeight="1" x14ac:dyDescent="0.2">
      <c r="A76" s="10"/>
      <c r="B76" s="23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09"/>
      <c r="Q76" s="107"/>
    </row>
    <row r="77" spans="1:17" ht="13.5" customHeight="1" x14ac:dyDescent="0.2">
      <c r="A77" s="10"/>
      <c r="B77" s="23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09"/>
      <c r="Q77" s="107"/>
    </row>
    <row r="78" spans="1:17" ht="13.5" customHeight="1" x14ac:dyDescent="0.2">
      <c r="A78" s="10"/>
      <c r="B78" s="23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09"/>
      <c r="Q78" s="107"/>
    </row>
    <row r="79" spans="1:17" ht="13.5" customHeight="1" x14ac:dyDescent="0.2">
      <c r="A79" s="10"/>
      <c r="B79" s="23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09"/>
      <c r="Q79" s="107"/>
    </row>
    <row r="80" spans="1:17" ht="13.5" customHeight="1" x14ac:dyDescent="0.2">
      <c r="A80" s="10"/>
      <c r="B80" s="23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09"/>
      <c r="Q80" s="107"/>
    </row>
    <row r="81" spans="1:17" ht="13.5" customHeight="1" x14ac:dyDescent="0.2">
      <c r="A81" s="10"/>
      <c r="B81" s="23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09"/>
      <c r="Q81" s="107"/>
    </row>
    <row r="82" spans="1:17" ht="13.5" customHeight="1" x14ac:dyDescent="0.2">
      <c r="A82" s="10"/>
      <c r="B82" s="23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09"/>
      <c r="Q82" s="107"/>
    </row>
    <row r="83" spans="1:17" ht="13.5" customHeight="1" thickBot="1" x14ac:dyDescent="0.25">
      <c r="A83" s="10"/>
      <c r="B83" s="2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09"/>
      <c r="Q83" s="107"/>
    </row>
    <row r="84" spans="1:17" ht="13.5" thickBot="1" x14ac:dyDescent="0.25">
      <c r="B84" s="121" t="s">
        <v>44</v>
      </c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9"/>
      <c r="O84" s="119"/>
      <c r="P84" s="119"/>
      <c r="Q84" s="120"/>
    </row>
    <row r="85" spans="1:17" x14ac:dyDescent="0.2">
      <c r="B85" s="304"/>
      <c r="C85" s="305"/>
      <c r="D85" s="305"/>
      <c r="E85" s="305"/>
      <c r="F85" s="305"/>
      <c r="G85" s="305"/>
      <c r="H85" s="305"/>
      <c r="I85" s="305"/>
      <c r="J85" s="305"/>
      <c r="K85" s="305"/>
      <c r="L85" s="305"/>
      <c r="M85" s="305"/>
      <c r="N85" s="305"/>
      <c r="O85" s="305"/>
      <c r="P85" s="305"/>
      <c r="Q85" s="306"/>
    </row>
    <row r="86" spans="1:17" x14ac:dyDescent="0.2">
      <c r="B86" s="304"/>
      <c r="C86" s="305"/>
      <c r="D86" s="305"/>
      <c r="E86" s="305"/>
      <c r="F86" s="305"/>
      <c r="G86" s="305"/>
      <c r="H86" s="305"/>
      <c r="I86" s="305"/>
      <c r="J86" s="305"/>
      <c r="K86" s="305"/>
      <c r="L86" s="305"/>
      <c r="M86" s="305"/>
      <c r="N86" s="305"/>
      <c r="O86" s="305"/>
      <c r="P86" s="305"/>
      <c r="Q86" s="306"/>
    </row>
    <row r="87" spans="1:17" x14ac:dyDescent="0.2">
      <c r="B87" s="304"/>
      <c r="C87" s="305"/>
      <c r="D87" s="305"/>
      <c r="E87" s="305"/>
      <c r="F87" s="305"/>
      <c r="G87" s="305"/>
      <c r="H87" s="305"/>
      <c r="I87" s="305"/>
      <c r="J87" s="305"/>
      <c r="K87" s="305"/>
      <c r="L87" s="305"/>
      <c r="M87" s="305"/>
      <c r="N87" s="305"/>
      <c r="O87" s="305"/>
      <c r="P87" s="305"/>
      <c r="Q87" s="306"/>
    </row>
    <row r="88" spans="1:17" x14ac:dyDescent="0.2">
      <c r="B88" s="304"/>
      <c r="C88" s="305"/>
      <c r="D88" s="305"/>
      <c r="E88" s="305"/>
      <c r="F88" s="305"/>
      <c r="G88" s="305"/>
      <c r="H88" s="305"/>
      <c r="I88" s="305"/>
      <c r="J88" s="305"/>
      <c r="K88" s="305"/>
      <c r="L88" s="305"/>
      <c r="M88" s="305"/>
      <c r="N88" s="305"/>
      <c r="O88" s="305"/>
      <c r="P88" s="305"/>
      <c r="Q88" s="306"/>
    </row>
    <row r="89" spans="1:17" ht="13.5" thickBot="1" x14ac:dyDescent="0.25">
      <c r="B89" s="307"/>
      <c r="C89" s="308"/>
      <c r="D89" s="308"/>
      <c r="E89" s="308"/>
      <c r="F89" s="308"/>
      <c r="G89" s="308"/>
      <c r="H89" s="308"/>
      <c r="I89" s="308"/>
      <c r="J89" s="308"/>
      <c r="K89" s="308"/>
      <c r="L89" s="308"/>
      <c r="M89" s="308"/>
      <c r="N89" s="308"/>
      <c r="O89" s="308"/>
      <c r="P89" s="308"/>
      <c r="Q89" s="309"/>
    </row>
  </sheetData>
  <sheetProtection selectLockedCells="1"/>
  <mergeCells count="22">
    <mergeCell ref="N7:Q7"/>
    <mergeCell ref="N8:Q8"/>
    <mergeCell ref="B11:Q11"/>
    <mergeCell ref="B9:E9"/>
    <mergeCell ref="F9:I9"/>
    <mergeCell ref="J9:M9"/>
    <mergeCell ref="N9:Q9"/>
    <mergeCell ref="B10:E10"/>
    <mergeCell ref="F10:I10"/>
    <mergeCell ref="J10:M10"/>
    <mergeCell ref="N10:Q10"/>
    <mergeCell ref="B7:E7"/>
    <mergeCell ref="J8:M8"/>
    <mergeCell ref="J7:M7"/>
    <mergeCell ref="F8:I8"/>
    <mergeCell ref="F7:I7"/>
    <mergeCell ref="B85:Q89"/>
    <mergeCell ref="B8:E8"/>
    <mergeCell ref="G33:H35"/>
    <mergeCell ref="K14:L16"/>
    <mergeCell ref="B38:Q38"/>
    <mergeCell ref="B59:Q59"/>
  </mergeCells>
  <hyperlinks>
    <hyperlink ref="A16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paperSize="9" scale="62" orientation="portrait" r:id="rId2"/>
  <headerFooter>
    <oddFooter>&amp;L&amp;"Tahoma,Bold"www.intelligent-data-collection.com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view="pageBreakPreview" zoomScale="80" zoomScaleNormal="100" zoomScaleSheetLayoutView="80" workbookViewId="0"/>
  </sheetViews>
  <sheetFormatPr defaultRowHeight="12.75" x14ac:dyDescent="0.2"/>
  <cols>
    <col min="1" max="1" width="12.140625" style="3" customWidth="1"/>
    <col min="2" max="25" width="9.7109375" style="3" customWidth="1"/>
    <col min="26" max="16384" width="9.140625" style="3"/>
  </cols>
  <sheetData>
    <row r="1" spans="1:25" s="2" customFormat="1" ht="27.75" customHeight="1" x14ac:dyDescent="0.2">
      <c r="A1" s="48" t="s">
        <v>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5" s="2" customFormat="1" ht="13.5" customHeigh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5" s="2" customFormat="1" ht="13.5" customHeight="1" x14ac:dyDescent="0.2">
      <c r="A3" s="125" t="str">
        <f>'Internal Control-Check Sheet'!$E$3</f>
        <v>Client:</v>
      </c>
      <c r="B3" s="14"/>
      <c r="C3" s="51" t="str">
        <f>'Internal Control-Check Sheet'!G3</f>
        <v>Bristol City Council</v>
      </c>
      <c r="D3" s="51"/>
      <c r="E3" s="51"/>
      <c r="F3" s="125" t="str">
        <f>'Internal Control-Check Sheet'!$J$3</f>
        <v>Date of Survey:</v>
      </c>
      <c r="G3" s="51"/>
      <c r="H3" s="53" t="str">
        <f>'Internal Control-Check Sheet'!L3</f>
        <v>09.07.2015</v>
      </c>
      <c r="I3" s="51"/>
      <c r="J3" s="3"/>
      <c r="K3" s="51"/>
      <c r="L3" s="51"/>
      <c r="M3" s="51"/>
      <c r="N3" s="51"/>
      <c r="O3" s="51"/>
      <c r="P3" s="3"/>
      <c r="S3" s="3"/>
      <c r="V3" s="3"/>
      <c r="W3" s="51"/>
      <c r="X3" s="51"/>
      <c r="Y3" s="51"/>
    </row>
    <row r="4" spans="1:25" s="2" customFormat="1" ht="13.5" customHeight="1" x14ac:dyDescent="0.2">
      <c r="A4" s="125" t="str">
        <f>'Internal Control-Check Sheet'!$E$4</f>
        <v>Project Number:</v>
      </c>
      <c r="B4" s="14"/>
      <c r="C4" s="51" t="str">
        <f>'Internal Control-Check Sheet'!G4</f>
        <v>ID02343</v>
      </c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Robertson Road</v>
      </c>
      <c r="I4" s="51"/>
      <c r="J4" s="3"/>
      <c r="K4" s="51"/>
      <c r="L4" s="51"/>
      <c r="M4" s="126"/>
      <c r="N4" s="52"/>
      <c r="O4" s="127" t="s">
        <v>48</v>
      </c>
      <c r="P4" s="14" t="str">
        <f>'Internal Control-Check Sheet'!F9</f>
        <v>Robertson Road (S)</v>
      </c>
      <c r="S4" s="127"/>
      <c r="T4" s="14"/>
      <c r="V4" s="3"/>
      <c r="W4" s="51"/>
      <c r="X4" s="51"/>
      <c r="Y4" s="51"/>
    </row>
    <row r="5" spans="1:25" s="2" customFormat="1" ht="13.5" customHeight="1" x14ac:dyDescent="0.2">
      <c r="A5" s="125" t="str">
        <f>'Internal Control-Check Sheet'!$E$5</f>
        <v>Site Number:</v>
      </c>
      <c r="B5" s="14"/>
      <c r="C5" s="51" t="str">
        <f>'Internal Control-Check Sheet'!G5</f>
        <v>ANPR Site 18</v>
      </c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51"/>
      <c r="J5" s="3"/>
      <c r="K5" s="51"/>
      <c r="L5" s="51"/>
      <c r="M5" s="126"/>
      <c r="N5" s="52"/>
      <c r="O5" s="127" t="s">
        <v>49</v>
      </c>
      <c r="P5" s="14" t="str">
        <f>'Internal Control-Check Sheet'!F10</f>
        <v>Robertson Road (N)</v>
      </c>
      <c r="S5" s="127"/>
      <c r="T5" s="14"/>
      <c r="V5" s="3"/>
      <c r="W5" s="51"/>
      <c r="X5" s="51"/>
      <c r="Y5" s="51"/>
    </row>
    <row r="6" spans="1:25" ht="13.5" customHeight="1" thickBot="1" x14ac:dyDescent="0.25">
      <c r="A6" s="50"/>
      <c r="B6" s="52"/>
      <c r="C6" s="52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</row>
    <row r="7" spans="1:25" ht="13.5" customHeight="1" thickTop="1" thickBot="1" x14ac:dyDescent="0.25">
      <c r="A7" s="54"/>
      <c r="B7" s="334" t="s">
        <v>163</v>
      </c>
      <c r="C7" s="335"/>
      <c r="D7" s="335"/>
      <c r="E7" s="335"/>
      <c r="F7" s="335"/>
      <c r="G7" s="335"/>
      <c r="H7" s="335"/>
      <c r="I7" s="336"/>
      <c r="J7" s="337" t="s">
        <v>164</v>
      </c>
      <c r="K7" s="338"/>
      <c r="L7" s="338"/>
      <c r="M7" s="338"/>
      <c r="N7" s="338"/>
      <c r="O7" s="338"/>
      <c r="P7" s="338"/>
      <c r="Q7" s="339"/>
      <c r="R7" s="340" t="s">
        <v>149</v>
      </c>
      <c r="S7" s="341"/>
      <c r="T7" s="341"/>
      <c r="U7" s="341"/>
      <c r="V7" s="341"/>
      <c r="W7" s="341"/>
      <c r="X7" s="341"/>
      <c r="Y7" s="342"/>
    </row>
    <row r="8" spans="1:25" ht="13.5" customHeight="1" thickTop="1" thickBot="1" x14ac:dyDescent="0.25">
      <c r="A8" s="117" t="s">
        <v>0</v>
      </c>
      <c r="B8" s="55" t="s">
        <v>2</v>
      </c>
      <c r="C8" s="55" t="s">
        <v>12</v>
      </c>
      <c r="D8" s="55" t="s">
        <v>170</v>
      </c>
      <c r="E8" s="55" t="s">
        <v>171</v>
      </c>
      <c r="F8" s="55" t="s">
        <v>4</v>
      </c>
      <c r="G8" s="55" t="s">
        <v>9</v>
      </c>
      <c r="H8" s="55" t="s">
        <v>3</v>
      </c>
      <c r="I8" s="55" t="s">
        <v>8</v>
      </c>
      <c r="J8" s="55" t="s">
        <v>2</v>
      </c>
      <c r="K8" s="55" t="s">
        <v>12</v>
      </c>
      <c r="L8" s="55" t="s">
        <v>170</v>
      </c>
      <c r="M8" s="55" t="s">
        <v>171</v>
      </c>
      <c r="N8" s="55" t="s">
        <v>4</v>
      </c>
      <c r="O8" s="55" t="s">
        <v>9</v>
      </c>
      <c r="P8" s="55" t="s">
        <v>3</v>
      </c>
      <c r="Q8" s="55" t="s">
        <v>8</v>
      </c>
      <c r="R8" s="55" t="s">
        <v>2</v>
      </c>
      <c r="S8" s="55" t="s">
        <v>12</v>
      </c>
      <c r="T8" s="55" t="s">
        <v>170</v>
      </c>
      <c r="U8" s="55" t="s">
        <v>171</v>
      </c>
      <c r="V8" s="55" t="s">
        <v>4</v>
      </c>
      <c r="W8" s="55" t="s">
        <v>9</v>
      </c>
      <c r="X8" s="55" t="s">
        <v>3</v>
      </c>
      <c r="Y8" s="55" t="s">
        <v>8</v>
      </c>
    </row>
    <row r="9" spans="1:25" s="16" customFormat="1" ht="13.5" customHeight="1" thickTop="1" x14ac:dyDescent="0.2">
      <c r="A9" s="56">
        <f>'Internal Control-Check Sheet'!F26</f>
        <v>0.29166666666666669</v>
      </c>
      <c r="B9" s="87">
        <v>20</v>
      </c>
      <c r="C9" s="87">
        <v>1</v>
      </c>
      <c r="D9" s="87">
        <v>2</v>
      </c>
      <c r="E9" s="87">
        <v>0</v>
      </c>
      <c r="F9" s="87">
        <v>0</v>
      </c>
      <c r="G9" s="87">
        <v>0</v>
      </c>
      <c r="H9" s="87">
        <v>2</v>
      </c>
      <c r="I9" s="88">
        <f t="shared" ref="I9:I56" si="0">SUM(B9:H9)</f>
        <v>25</v>
      </c>
      <c r="J9" s="87">
        <v>10</v>
      </c>
      <c r="K9" s="87">
        <v>1</v>
      </c>
      <c r="L9" s="87">
        <v>0</v>
      </c>
      <c r="M9" s="87">
        <v>0</v>
      </c>
      <c r="N9" s="87">
        <v>0</v>
      </c>
      <c r="O9" s="87">
        <v>0</v>
      </c>
      <c r="P9" s="87">
        <v>2</v>
      </c>
      <c r="Q9" s="88">
        <f t="shared" ref="Q9:Q56" si="1">SUM(J9:P9)</f>
        <v>13</v>
      </c>
      <c r="R9" s="87">
        <f>B9+J9</f>
        <v>30</v>
      </c>
      <c r="S9" s="87">
        <f t="shared" ref="S9:S56" si="2">C9+K9</f>
        <v>2</v>
      </c>
      <c r="T9" s="87">
        <f t="shared" ref="T9:T56" si="3">D9+L9</f>
        <v>2</v>
      </c>
      <c r="U9" s="87">
        <f t="shared" ref="U9:U56" si="4">E9+M9</f>
        <v>0</v>
      </c>
      <c r="V9" s="87">
        <f t="shared" ref="V9:V56" si="5">F9+N9</f>
        <v>0</v>
      </c>
      <c r="W9" s="87">
        <f t="shared" ref="W9:W56" si="6">G9+O9</f>
        <v>0</v>
      </c>
      <c r="X9" s="87">
        <f t="shared" ref="X9:X56" si="7">H9+P9</f>
        <v>4</v>
      </c>
      <c r="Y9" s="88">
        <f t="shared" ref="Y9:Y56" si="8">SUM(R9:X9)</f>
        <v>38</v>
      </c>
    </row>
    <row r="10" spans="1:25" s="16" customFormat="1" ht="13.5" customHeight="1" x14ac:dyDescent="0.2">
      <c r="A10" s="59">
        <f>A9+'Internal Control-Check Sheet'!$H$26</f>
        <v>0.30208333333333337</v>
      </c>
      <c r="B10" s="87">
        <v>32</v>
      </c>
      <c r="C10" s="87">
        <v>9</v>
      </c>
      <c r="D10" s="87">
        <v>1</v>
      </c>
      <c r="E10" s="87">
        <v>0</v>
      </c>
      <c r="F10" s="87">
        <v>1</v>
      </c>
      <c r="G10" s="87">
        <v>0</v>
      </c>
      <c r="H10" s="87">
        <v>3</v>
      </c>
      <c r="I10" s="88">
        <f t="shared" si="0"/>
        <v>46</v>
      </c>
      <c r="J10" s="87">
        <v>10</v>
      </c>
      <c r="K10" s="87">
        <v>1</v>
      </c>
      <c r="L10" s="87">
        <v>0</v>
      </c>
      <c r="M10" s="87">
        <v>0</v>
      </c>
      <c r="N10" s="87">
        <v>0</v>
      </c>
      <c r="O10" s="87">
        <v>0</v>
      </c>
      <c r="P10" s="87">
        <v>1</v>
      </c>
      <c r="Q10" s="88">
        <f t="shared" si="1"/>
        <v>12</v>
      </c>
      <c r="R10" s="87">
        <f t="shared" ref="R10:R56" si="9">B10+J10</f>
        <v>42</v>
      </c>
      <c r="S10" s="87">
        <f t="shared" si="2"/>
        <v>10</v>
      </c>
      <c r="T10" s="87">
        <f t="shared" si="3"/>
        <v>1</v>
      </c>
      <c r="U10" s="87">
        <f t="shared" si="4"/>
        <v>0</v>
      </c>
      <c r="V10" s="87">
        <f t="shared" si="5"/>
        <v>1</v>
      </c>
      <c r="W10" s="87">
        <f t="shared" si="6"/>
        <v>0</v>
      </c>
      <c r="X10" s="87">
        <f t="shared" si="7"/>
        <v>4</v>
      </c>
      <c r="Y10" s="88">
        <f t="shared" si="8"/>
        <v>58</v>
      </c>
    </row>
    <row r="11" spans="1:25" ht="13.5" customHeight="1" x14ac:dyDescent="0.2">
      <c r="A11" s="60">
        <f>A10+'Internal Control-Check Sheet'!$H$26</f>
        <v>0.31250000000000006</v>
      </c>
      <c r="B11" s="87">
        <v>41</v>
      </c>
      <c r="C11" s="87">
        <v>6</v>
      </c>
      <c r="D11" s="87">
        <v>0</v>
      </c>
      <c r="E11" s="87">
        <v>0</v>
      </c>
      <c r="F11" s="87">
        <v>0</v>
      </c>
      <c r="G11" s="87">
        <v>0</v>
      </c>
      <c r="H11" s="87">
        <v>2</v>
      </c>
      <c r="I11" s="88">
        <f t="shared" si="0"/>
        <v>49</v>
      </c>
      <c r="J11" s="87">
        <v>18</v>
      </c>
      <c r="K11" s="87">
        <v>2</v>
      </c>
      <c r="L11" s="87">
        <v>1</v>
      </c>
      <c r="M11" s="87">
        <v>0</v>
      </c>
      <c r="N11" s="87">
        <v>0</v>
      </c>
      <c r="O11" s="87">
        <v>0</v>
      </c>
      <c r="P11" s="87">
        <v>1</v>
      </c>
      <c r="Q11" s="88">
        <f t="shared" si="1"/>
        <v>22</v>
      </c>
      <c r="R11" s="87">
        <f t="shared" si="9"/>
        <v>59</v>
      </c>
      <c r="S11" s="87">
        <f t="shared" si="2"/>
        <v>8</v>
      </c>
      <c r="T11" s="87">
        <f t="shared" si="3"/>
        <v>1</v>
      </c>
      <c r="U11" s="87">
        <f t="shared" si="4"/>
        <v>0</v>
      </c>
      <c r="V11" s="87">
        <f t="shared" si="5"/>
        <v>0</v>
      </c>
      <c r="W11" s="87">
        <f t="shared" si="6"/>
        <v>0</v>
      </c>
      <c r="X11" s="87">
        <f t="shared" si="7"/>
        <v>3</v>
      </c>
      <c r="Y11" s="88">
        <f t="shared" si="8"/>
        <v>71</v>
      </c>
    </row>
    <row r="12" spans="1:25" ht="13.5" customHeight="1" x14ac:dyDescent="0.2">
      <c r="A12" s="59">
        <f>A11+'Internal Control-Check Sheet'!$H$26</f>
        <v>0.32291666666666674</v>
      </c>
      <c r="B12" s="87">
        <v>40</v>
      </c>
      <c r="C12" s="87">
        <v>5</v>
      </c>
      <c r="D12" s="87">
        <v>1</v>
      </c>
      <c r="E12" s="87">
        <v>0</v>
      </c>
      <c r="F12" s="87">
        <v>0</v>
      </c>
      <c r="G12" s="87">
        <v>1</v>
      </c>
      <c r="H12" s="87">
        <v>5</v>
      </c>
      <c r="I12" s="88">
        <f t="shared" si="0"/>
        <v>52</v>
      </c>
      <c r="J12" s="87">
        <v>8</v>
      </c>
      <c r="K12" s="87">
        <v>5</v>
      </c>
      <c r="L12" s="87">
        <v>0</v>
      </c>
      <c r="M12" s="87">
        <v>0</v>
      </c>
      <c r="N12" s="87">
        <v>1</v>
      </c>
      <c r="O12" s="87">
        <v>0</v>
      </c>
      <c r="P12" s="87">
        <v>1</v>
      </c>
      <c r="Q12" s="88">
        <f t="shared" si="1"/>
        <v>15</v>
      </c>
      <c r="R12" s="87">
        <f t="shared" si="9"/>
        <v>48</v>
      </c>
      <c r="S12" s="87">
        <f t="shared" si="2"/>
        <v>10</v>
      </c>
      <c r="T12" s="87">
        <f t="shared" si="3"/>
        <v>1</v>
      </c>
      <c r="U12" s="87">
        <f t="shared" si="4"/>
        <v>0</v>
      </c>
      <c r="V12" s="87">
        <f t="shared" si="5"/>
        <v>1</v>
      </c>
      <c r="W12" s="87">
        <f t="shared" si="6"/>
        <v>1</v>
      </c>
      <c r="X12" s="87">
        <f t="shared" si="7"/>
        <v>6</v>
      </c>
      <c r="Y12" s="88">
        <f t="shared" si="8"/>
        <v>67</v>
      </c>
    </row>
    <row r="13" spans="1:25" x14ac:dyDescent="0.2">
      <c r="A13" s="60">
        <f>A12+'Internal Control-Check Sheet'!$H$26</f>
        <v>0.33333333333333343</v>
      </c>
      <c r="B13" s="87">
        <v>51</v>
      </c>
      <c r="C13" s="87">
        <v>7</v>
      </c>
      <c r="D13" s="87">
        <v>3</v>
      </c>
      <c r="E13" s="87">
        <v>0</v>
      </c>
      <c r="F13" s="87">
        <v>1</v>
      </c>
      <c r="G13" s="87">
        <v>0</v>
      </c>
      <c r="H13" s="87">
        <v>7</v>
      </c>
      <c r="I13" s="88">
        <f t="shared" si="0"/>
        <v>69</v>
      </c>
      <c r="J13" s="87">
        <v>14</v>
      </c>
      <c r="K13" s="87">
        <v>5</v>
      </c>
      <c r="L13" s="87">
        <v>0</v>
      </c>
      <c r="M13" s="87">
        <v>0</v>
      </c>
      <c r="N13" s="87">
        <v>0</v>
      </c>
      <c r="O13" s="87">
        <v>0</v>
      </c>
      <c r="P13" s="87">
        <v>5</v>
      </c>
      <c r="Q13" s="88">
        <f t="shared" si="1"/>
        <v>24</v>
      </c>
      <c r="R13" s="87">
        <f t="shared" si="9"/>
        <v>65</v>
      </c>
      <c r="S13" s="87">
        <f t="shared" si="2"/>
        <v>12</v>
      </c>
      <c r="T13" s="87">
        <f t="shared" si="3"/>
        <v>3</v>
      </c>
      <c r="U13" s="87">
        <f t="shared" si="4"/>
        <v>0</v>
      </c>
      <c r="V13" s="87">
        <f t="shared" si="5"/>
        <v>1</v>
      </c>
      <c r="W13" s="87">
        <f t="shared" si="6"/>
        <v>0</v>
      </c>
      <c r="X13" s="87">
        <f t="shared" si="7"/>
        <v>12</v>
      </c>
      <c r="Y13" s="88">
        <f t="shared" si="8"/>
        <v>93</v>
      </c>
    </row>
    <row r="14" spans="1:25" ht="13.5" customHeight="1" x14ac:dyDescent="0.2">
      <c r="A14" s="60">
        <f>A13+'Internal Control-Check Sheet'!$H$26</f>
        <v>0.34375000000000011</v>
      </c>
      <c r="B14" s="87">
        <v>50</v>
      </c>
      <c r="C14" s="87">
        <v>9</v>
      </c>
      <c r="D14" s="87">
        <v>0</v>
      </c>
      <c r="E14" s="87">
        <v>0</v>
      </c>
      <c r="F14" s="87">
        <v>0</v>
      </c>
      <c r="G14" s="87">
        <v>0</v>
      </c>
      <c r="H14" s="87">
        <v>6</v>
      </c>
      <c r="I14" s="88">
        <f t="shared" si="0"/>
        <v>65</v>
      </c>
      <c r="J14" s="87">
        <v>19</v>
      </c>
      <c r="K14" s="87">
        <v>7</v>
      </c>
      <c r="L14" s="87">
        <v>1</v>
      </c>
      <c r="M14" s="87">
        <v>0</v>
      </c>
      <c r="N14" s="87">
        <v>1</v>
      </c>
      <c r="O14" s="87">
        <v>0</v>
      </c>
      <c r="P14" s="87">
        <v>2</v>
      </c>
      <c r="Q14" s="88">
        <f t="shared" si="1"/>
        <v>30</v>
      </c>
      <c r="R14" s="87">
        <f t="shared" si="9"/>
        <v>69</v>
      </c>
      <c r="S14" s="87">
        <f t="shared" si="2"/>
        <v>16</v>
      </c>
      <c r="T14" s="87">
        <f t="shared" si="3"/>
        <v>1</v>
      </c>
      <c r="U14" s="87">
        <f t="shared" si="4"/>
        <v>0</v>
      </c>
      <c r="V14" s="87">
        <f t="shared" si="5"/>
        <v>1</v>
      </c>
      <c r="W14" s="87">
        <f t="shared" si="6"/>
        <v>0</v>
      </c>
      <c r="X14" s="87">
        <f t="shared" si="7"/>
        <v>8</v>
      </c>
      <c r="Y14" s="88">
        <f t="shared" si="8"/>
        <v>95</v>
      </c>
    </row>
    <row r="15" spans="1:25" ht="13.5" customHeight="1" x14ac:dyDescent="0.2">
      <c r="A15" s="60">
        <f>A14+'Internal Control-Check Sheet'!$H$26</f>
        <v>0.3541666666666668</v>
      </c>
      <c r="B15" s="87">
        <v>39</v>
      </c>
      <c r="C15" s="87">
        <v>9</v>
      </c>
      <c r="D15" s="87">
        <v>1</v>
      </c>
      <c r="E15" s="87">
        <v>0</v>
      </c>
      <c r="F15" s="87">
        <v>1</v>
      </c>
      <c r="G15" s="87">
        <v>0</v>
      </c>
      <c r="H15" s="87">
        <v>12</v>
      </c>
      <c r="I15" s="88">
        <f t="shared" si="0"/>
        <v>62</v>
      </c>
      <c r="J15" s="87">
        <v>24</v>
      </c>
      <c r="K15" s="87">
        <v>7</v>
      </c>
      <c r="L15" s="87">
        <v>0</v>
      </c>
      <c r="M15" s="87">
        <v>0</v>
      </c>
      <c r="N15" s="87">
        <v>0</v>
      </c>
      <c r="O15" s="87">
        <v>0</v>
      </c>
      <c r="P15" s="87">
        <v>3</v>
      </c>
      <c r="Q15" s="88">
        <f t="shared" si="1"/>
        <v>34</v>
      </c>
      <c r="R15" s="87">
        <f t="shared" si="9"/>
        <v>63</v>
      </c>
      <c r="S15" s="87">
        <f t="shared" si="2"/>
        <v>16</v>
      </c>
      <c r="T15" s="87">
        <f t="shared" si="3"/>
        <v>1</v>
      </c>
      <c r="U15" s="87">
        <f t="shared" si="4"/>
        <v>0</v>
      </c>
      <c r="V15" s="87">
        <f t="shared" si="5"/>
        <v>1</v>
      </c>
      <c r="W15" s="87">
        <f t="shared" si="6"/>
        <v>0</v>
      </c>
      <c r="X15" s="87">
        <f t="shared" si="7"/>
        <v>15</v>
      </c>
      <c r="Y15" s="88">
        <f t="shared" si="8"/>
        <v>96</v>
      </c>
    </row>
    <row r="16" spans="1:25" ht="13.5" customHeight="1" x14ac:dyDescent="0.2">
      <c r="A16" s="60">
        <f>A15+'Internal Control-Check Sheet'!$H$26</f>
        <v>0.36458333333333348</v>
      </c>
      <c r="B16" s="87">
        <v>33</v>
      </c>
      <c r="C16" s="87">
        <v>9</v>
      </c>
      <c r="D16" s="87">
        <v>0</v>
      </c>
      <c r="E16" s="87">
        <v>0</v>
      </c>
      <c r="F16" s="87">
        <v>0</v>
      </c>
      <c r="G16" s="87">
        <v>0</v>
      </c>
      <c r="H16" s="87">
        <v>8</v>
      </c>
      <c r="I16" s="88">
        <f t="shared" si="0"/>
        <v>50</v>
      </c>
      <c r="J16" s="87">
        <v>22</v>
      </c>
      <c r="K16" s="87">
        <v>3</v>
      </c>
      <c r="L16" s="87">
        <v>1</v>
      </c>
      <c r="M16" s="87">
        <v>0</v>
      </c>
      <c r="N16" s="87">
        <v>1</v>
      </c>
      <c r="O16" s="87">
        <v>0</v>
      </c>
      <c r="P16" s="87">
        <v>1</v>
      </c>
      <c r="Q16" s="88">
        <f t="shared" si="1"/>
        <v>28</v>
      </c>
      <c r="R16" s="87">
        <f t="shared" si="9"/>
        <v>55</v>
      </c>
      <c r="S16" s="87">
        <f t="shared" si="2"/>
        <v>12</v>
      </c>
      <c r="T16" s="87">
        <f t="shared" si="3"/>
        <v>1</v>
      </c>
      <c r="U16" s="87">
        <f t="shared" si="4"/>
        <v>0</v>
      </c>
      <c r="V16" s="87">
        <f t="shared" si="5"/>
        <v>1</v>
      </c>
      <c r="W16" s="87">
        <f t="shared" si="6"/>
        <v>0</v>
      </c>
      <c r="X16" s="87">
        <f t="shared" si="7"/>
        <v>9</v>
      </c>
      <c r="Y16" s="88">
        <f t="shared" si="8"/>
        <v>78</v>
      </c>
    </row>
    <row r="17" spans="1:25" ht="13.5" customHeight="1" x14ac:dyDescent="0.2">
      <c r="A17" s="60">
        <f>A16+'Internal Control-Check Sheet'!$H$26</f>
        <v>0.37500000000000017</v>
      </c>
      <c r="B17" s="87">
        <v>40</v>
      </c>
      <c r="C17" s="87">
        <v>8</v>
      </c>
      <c r="D17" s="87">
        <v>1</v>
      </c>
      <c r="E17" s="87">
        <v>0</v>
      </c>
      <c r="F17" s="87">
        <v>0</v>
      </c>
      <c r="G17" s="87">
        <v>0</v>
      </c>
      <c r="H17" s="87">
        <v>6</v>
      </c>
      <c r="I17" s="88">
        <f t="shared" si="0"/>
        <v>55</v>
      </c>
      <c r="J17" s="87">
        <v>31</v>
      </c>
      <c r="K17" s="87">
        <v>7</v>
      </c>
      <c r="L17" s="87">
        <v>2</v>
      </c>
      <c r="M17" s="87">
        <v>0</v>
      </c>
      <c r="N17" s="87">
        <v>2</v>
      </c>
      <c r="O17" s="87">
        <v>0</v>
      </c>
      <c r="P17" s="87">
        <v>3</v>
      </c>
      <c r="Q17" s="88">
        <f t="shared" si="1"/>
        <v>45</v>
      </c>
      <c r="R17" s="87">
        <f t="shared" si="9"/>
        <v>71</v>
      </c>
      <c r="S17" s="87">
        <f t="shared" si="2"/>
        <v>15</v>
      </c>
      <c r="T17" s="87">
        <f t="shared" si="3"/>
        <v>3</v>
      </c>
      <c r="U17" s="87">
        <f t="shared" si="4"/>
        <v>0</v>
      </c>
      <c r="V17" s="87">
        <f t="shared" si="5"/>
        <v>2</v>
      </c>
      <c r="W17" s="87">
        <f t="shared" si="6"/>
        <v>0</v>
      </c>
      <c r="X17" s="87">
        <f t="shared" si="7"/>
        <v>9</v>
      </c>
      <c r="Y17" s="88">
        <f t="shared" si="8"/>
        <v>100</v>
      </c>
    </row>
    <row r="18" spans="1:25" ht="13.5" customHeight="1" x14ac:dyDescent="0.2">
      <c r="A18" s="60">
        <f>A17+'Internal Control-Check Sheet'!$H$26</f>
        <v>0.38541666666666685</v>
      </c>
      <c r="B18" s="87">
        <v>34</v>
      </c>
      <c r="C18" s="87">
        <v>6</v>
      </c>
      <c r="D18" s="87">
        <v>0</v>
      </c>
      <c r="E18" s="87">
        <v>0</v>
      </c>
      <c r="F18" s="87">
        <v>1</v>
      </c>
      <c r="G18" s="87">
        <v>1</v>
      </c>
      <c r="H18" s="87">
        <v>2</v>
      </c>
      <c r="I18" s="88">
        <f t="shared" si="0"/>
        <v>44</v>
      </c>
      <c r="J18" s="87">
        <v>17</v>
      </c>
      <c r="K18" s="87">
        <v>5</v>
      </c>
      <c r="L18" s="87">
        <v>1</v>
      </c>
      <c r="M18" s="87">
        <v>0</v>
      </c>
      <c r="N18" s="87">
        <v>1</v>
      </c>
      <c r="O18" s="87">
        <v>0</v>
      </c>
      <c r="P18" s="87">
        <v>3</v>
      </c>
      <c r="Q18" s="88">
        <f t="shared" si="1"/>
        <v>27</v>
      </c>
      <c r="R18" s="87">
        <f t="shared" si="9"/>
        <v>51</v>
      </c>
      <c r="S18" s="87">
        <f t="shared" si="2"/>
        <v>11</v>
      </c>
      <c r="T18" s="87">
        <f t="shared" si="3"/>
        <v>1</v>
      </c>
      <c r="U18" s="87">
        <f t="shared" si="4"/>
        <v>0</v>
      </c>
      <c r="V18" s="87">
        <f t="shared" si="5"/>
        <v>2</v>
      </c>
      <c r="W18" s="87">
        <f t="shared" si="6"/>
        <v>1</v>
      </c>
      <c r="X18" s="87">
        <f t="shared" si="7"/>
        <v>5</v>
      </c>
      <c r="Y18" s="88">
        <f t="shared" si="8"/>
        <v>71</v>
      </c>
    </row>
    <row r="19" spans="1:25" s="16" customFormat="1" ht="13.5" customHeight="1" x14ac:dyDescent="0.2">
      <c r="A19" s="56">
        <f>A18+'Internal Control-Check Sheet'!$H$26</f>
        <v>0.39583333333333354</v>
      </c>
      <c r="B19" s="87">
        <v>38</v>
      </c>
      <c r="C19" s="87">
        <v>8</v>
      </c>
      <c r="D19" s="87">
        <v>1</v>
      </c>
      <c r="E19" s="87">
        <v>0</v>
      </c>
      <c r="F19" s="87">
        <v>0</v>
      </c>
      <c r="G19" s="87">
        <v>1</v>
      </c>
      <c r="H19" s="87">
        <v>4</v>
      </c>
      <c r="I19" s="88">
        <f t="shared" si="0"/>
        <v>52</v>
      </c>
      <c r="J19" s="87">
        <v>19</v>
      </c>
      <c r="K19" s="87">
        <v>5</v>
      </c>
      <c r="L19" s="87">
        <v>0</v>
      </c>
      <c r="M19" s="87">
        <v>0</v>
      </c>
      <c r="N19" s="87">
        <v>0</v>
      </c>
      <c r="O19" s="87">
        <v>1</v>
      </c>
      <c r="P19" s="87">
        <v>0</v>
      </c>
      <c r="Q19" s="88">
        <f t="shared" si="1"/>
        <v>25</v>
      </c>
      <c r="R19" s="87">
        <f t="shared" si="9"/>
        <v>57</v>
      </c>
      <c r="S19" s="87">
        <f t="shared" si="2"/>
        <v>13</v>
      </c>
      <c r="T19" s="87">
        <f t="shared" si="3"/>
        <v>1</v>
      </c>
      <c r="U19" s="87">
        <f t="shared" si="4"/>
        <v>0</v>
      </c>
      <c r="V19" s="87">
        <f t="shared" si="5"/>
        <v>0</v>
      </c>
      <c r="W19" s="87">
        <f t="shared" si="6"/>
        <v>2</v>
      </c>
      <c r="X19" s="87">
        <f t="shared" si="7"/>
        <v>4</v>
      </c>
      <c r="Y19" s="88">
        <f t="shared" si="8"/>
        <v>77</v>
      </c>
    </row>
    <row r="20" spans="1:25" s="16" customFormat="1" ht="13.5" customHeight="1" x14ac:dyDescent="0.2">
      <c r="A20" s="59">
        <f>A19+'Internal Control-Check Sheet'!$H$26</f>
        <v>0.40625000000000022</v>
      </c>
      <c r="B20" s="87">
        <v>37</v>
      </c>
      <c r="C20" s="87">
        <v>4</v>
      </c>
      <c r="D20" s="87">
        <v>2</v>
      </c>
      <c r="E20" s="87">
        <v>0</v>
      </c>
      <c r="F20" s="87">
        <v>0</v>
      </c>
      <c r="G20" s="87">
        <v>0</v>
      </c>
      <c r="H20" s="87">
        <v>2</v>
      </c>
      <c r="I20" s="88">
        <f t="shared" si="0"/>
        <v>45</v>
      </c>
      <c r="J20" s="87">
        <v>25</v>
      </c>
      <c r="K20" s="87">
        <v>6</v>
      </c>
      <c r="L20" s="87">
        <v>0</v>
      </c>
      <c r="M20" s="87">
        <v>0</v>
      </c>
      <c r="N20" s="87">
        <v>0</v>
      </c>
      <c r="O20" s="87">
        <v>0</v>
      </c>
      <c r="P20" s="87">
        <v>1</v>
      </c>
      <c r="Q20" s="88">
        <f t="shared" si="1"/>
        <v>32</v>
      </c>
      <c r="R20" s="87">
        <f t="shared" si="9"/>
        <v>62</v>
      </c>
      <c r="S20" s="87">
        <f t="shared" si="2"/>
        <v>10</v>
      </c>
      <c r="T20" s="87">
        <f t="shared" si="3"/>
        <v>2</v>
      </c>
      <c r="U20" s="87">
        <f t="shared" si="4"/>
        <v>0</v>
      </c>
      <c r="V20" s="87">
        <f t="shared" si="5"/>
        <v>0</v>
      </c>
      <c r="W20" s="87">
        <f t="shared" si="6"/>
        <v>0</v>
      </c>
      <c r="X20" s="87">
        <f t="shared" si="7"/>
        <v>3</v>
      </c>
      <c r="Y20" s="88">
        <f t="shared" si="8"/>
        <v>77</v>
      </c>
    </row>
    <row r="21" spans="1:25" s="16" customFormat="1" ht="13.5" customHeight="1" x14ac:dyDescent="0.2">
      <c r="A21" s="60">
        <f>A20+'Internal Control-Check Sheet'!$H$26</f>
        <v>0.41666666666666691</v>
      </c>
      <c r="B21" s="87">
        <v>28</v>
      </c>
      <c r="C21" s="87">
        <v>3</v>
      </c>
      <c r="D21" s="87">
        <v>2</v>
      </c>
      <c r="E21" s="87">
        <v>0</v>
      </c>
      <c r="F21" s="87">
        <v>1</v>
      </c>
      <c r="G21" s="87">
        <v>0</v>
      </c>
      <c r="H21" s="87">
        <v>2</v>
      </c>
      <c r="I21" s="88">
        <f t="shared" si="0"/>
        <v>36</v>
      </c>
      <c r="J21" s="87">
        <v>26</v>
      </c>
      <c r="K21" s="87">
        <v>8</v>
      </c>
      <c r="L21" s="87">
        <v>0</v>
      </c>
      <c r="M21" s="87">
        <v>0</v>
      </c>
      <c r="N21" s="87">
        <v>2</v>
      </c>
      <c r="O21" s="87">
        <v>0</v>
      </c>
      <c r="P21" s="87">
        <v>2</v>
      </c>
      <c r="Q21" s="88">
        <f t="shared" si="1"/>
        <v>38</v>
      </c>
      <c r="R21" s="87">
        <f t="shared" si="9"/>
        <v>54</v>
      </c>
      <c r="S21" s="87">
        <f t="shared" si="2"/>
        <v>11</v>
      </c>
      <c r="T21" s="87">
        <f t="shared" si="3"/>
        <v>2</v>
      </c>
      <c r="U21" s="87">
        <f t="shared" si="4"/>
        <v>0</v>
      </c>
      <c r="V21" s="87">
        <f t="shared" si="5"/>
        <v>3</v>
      </c>
      <c r="W21" s="87">
        <f t="shared" si="6"/>
        <v>0</v>
      </c>
      <c r="X21" s="87">
        <f t="shared" si="7"/>
        <v>4</v>
      </c>
      <c r="Y21" s="88">
        <f t="shared" si="8"/>
        <v>74</v>
      </c>
    </row>
    <row r="22" spans="1:25" s="16" customFormat="1" ht="13.5" customHeight="1" x14ac:dyDescent="0.2">
      <c r="A22" s="59">
        <f>A21+'Internal Control-Check Sheet'!$H$26</f>
        <v>0.42708333333333359</v>
      </c>
      <c r="B22" s="87">
        <v>23</v>
      </c>
      <c r="C22" s="87">
        <v>5</v>
      </c>
      <c r="D22" s="87">
        <v>0</v>
      </c>
      <c r="E22" s="87">
        <v>0</v>
      </c>
      <c r="F22" s="87">
        <v>1</v>
      </c>
      <c r="G22" s="87">
        <v>0</v>
      </c>
      <c r="H22" s="87">
        <v>6</v>
      </c>
      <c r="I22" s="88">
        <f t="shared" si="0"/>
        <v>35</v>
      </c>
      <c r="J22" s="87">
        <v>29</v>
      </c>
      <c r="K22" s="87">
        <v>4</v>
      </c>
      <c r="L22" s="87">
        <v>0</v>
      </c>
      <c r="M22" s="87">
        <v>0</v>
      </c>
      <c r="N22" s="87">
        <v>0</v>
      </c>
      <c r="O22" s="87">
        <v>1</v>
      </c>
      <c r="P22" s="87">
        <v>2</v>
      </c>
      <c r="Q22" s="88">
        <f t="shared" si="1"/>
        <v>36</v>
      </c>
      <c r="R22" s="87">
        <f t="shared" si="9"/>
        <v>52</v>
      </c>
      <c r="S22" s="87">
        <f t="shared" si="2"/>
        <v>9</v>
      </c>
      <c r="T22" s="87">
        <f t="shared" si="3"/>
        <v>0</v>
      </c>
      <c r="U22" s="87">
        <f t="shared" si="4"/>
        <v>0</v>
      </c>
      <c r="V22" s="87">
        <f t="shared" si="5"/>
        <v>1</v>
      </c>
      <c r="W22" s="87">
        <f t="shared" si="6"/>
        <v>1</v>
      </c>
      <c r="X22" s="87">
        <f t="shared" si="7"/>
        <v>8</v>
      </c>
      <c r="Y22" s="88">
        <f t="shared" si="8"/>
        <v>71</v>
      </c>
    </row>
    <row r="23" spans="1:25" s="16" customFormat="1" ht="13.5" customHeight="1" x14ac:dyDescent="0.2">
      <c r="A23" s="60">
        <f>A22+'Internal Control-Check Sheet'!$H$26</f>
        <v>0.43750000000000028</v>
      </c>
      <c r="B23" s="87">
        <v>34</v>
      </c>
      <c r="C23" s="87">
        <v>10</v>
      </c>
      <c r="D23" s="87">
        <v>0</v>
      </c>
      <c r="E23" s="87">
        <v>0</v>
      </c>
      <c r="F23" s="87">
        <v>0</v>
      </c>
      <c r="G23" s="87">
        <v>1</v>
      </c>
      <c r="H23" s="87">
        <v>7</v>
      </c>
      <c r="I23" s="88">
        <f t="shared" si="0"/>
        <v>52</v>
      </c>
      <c r="J23" s="87">
        <v>18</v>
      </c>
      <c r="K23" s="87">
        <v>7</v>
      </c>
      <c r="L23" s="87">
        <v>1</v>
      </c>
      <c r="M23" s="87">
        <v>0</v>
      </c>
      <c r="N23" s="87">
        <v>1</v>
      </c>
      <c r="O23" s="87">
        <v>0</v>
      </c>
      <c r="P23" s="87">
        <v>1</v>
      </c>
      <c r="Q23" s="88">
        <f t="shared" si="1"/>
        <v>28</v>
      </c>
      <c r="R23" s="87">
        <f t="shared" si="9"/>
        <v>52</v>
      </c>
      <c r="S23" s="87">
        <f t="shared" si="2"/>
        <v>17</v>
      </c>
      <c r="T23" s="87">
        <f t="shared" si="3"/>
        <v>1</v>
      </c>
      <c r="U23" s="87">
        <f t="shared" si="4"/>
        <v>0</v>
      </c>
      <c r="V23" s="87">
        <f t="shared" si="5"/>
        <v>1</v>
      </c>
      <c r="W23" s="87">
        <f t="shared" si="6"/>
        <v>1</v>
      </c>
      <c r="X23" s="87">
        <f t="shared" si="7"/>
        <v>8</v>
      </c>
      <c r="Y23" s="88">
        <f t="shared" si="8"/>
        <v>80</v>
      </c>
    </row>
    <row r="24" spans="1:25" s="16" customFormat="1" ht="13.5" customHeight="1" x14ac:dyDescent="0.2">
      <c r="A24" s="60">
        <f>A23+'Internal Control-Check Sheet'!$H$26</f>
        <v>0.44791666666666696</v>
      </c>
      <c r="B24" s="87">
        <v>28</v>
      </c>
      <c r="C24" s="87">
        <v>5</v>
      </c>
      <c r="D24" s="87">
        <v>1</v>
      </c>
      <c r="E24" s="87">
        <v>0</v>
      </c>
      <c r="F24" s="87">
        <v>1</v>
      </c>
      <c r="G24" s="87">
        <v>0</v>
      </c>
      <c r="H24" s="87">
        <v>3</v>
      </c>
      <c r="I24" s="88">
        <f t="shared" si="0"/>
        <v>38</v>
      </c>
      <c r="J24" s="87">
        <v>28</v>
      </c>
      <c r="K24" s="87">
        <v>3</v>
      </c>
      <c r="L24" s="87">
        <v>1</v>
      </c>
      <c r="M24" s="87">
        <v>0</v>
      </c>
      <c r="N24" s="87">
        <v>0</v>
      </c>
      <c r="O24" s="87">
        <v>0</v>
      </c>
      <c r="P24" s="87">
        <v>3</v>
      </c>
      <c r="Q24" s="88">
        <f t="shared" si="1"/>
        <v>35</v>
      </c>
      <c r="R24" s="87">
        <f t="shared" si="9"/>
        <v>56</v>
      </c>
      <c r="S24" s="87">
        <f t="shared" si="2"/>
        <v>8</v>
      </c>
      <c r="T24" s="87">
        <f t="shared" si="3"/>
        <v>2</v>
      </c>
      <c r="U24" s="87">
        <f t="shared" si="4"/>
        <v>0</v>
      </c>
      <c r="V24" s="87">
        <f t="shared" si="5"/>
        <v>1</v>
      </c>
      <c r="W24" s="87">
        <f t="shared" si="6"/>
        <v>0</v>
      </c>
      <c r="X24" s="87">
        <f t="shared" si="7"/>
        <v>6</v>
      </c>
      <c r="Y24" s="88">
        <f t="shared" si="8"/>
        <v>73</v>
      </c>
    </row>
    <row r="25" spans="1:25" s="16" customFormat="1" ht="13.5" customHeight="1" x14ac:dyDescent="0.2">
      <c r="A25" s="60">
        <f>A24+'Internal Control-Check Sheet'!$H$26</f>
        <v>0.45833333333333365</v>
      </c>
      <c r="B25" s="87">
        <v>30</v>
      </c>
      <c r="C25" s="87">
        <v>7</v>
      </c>
      <c r="D25" s="87">
        <v>0</v>
      </c>
      <c r="E25" s="87">
        <v>0</v>
      </c>
      <c r="F25" s="87">
        <v>1</v>
      </c>
      <c r="G25" s="87">
        <v>0</v>
      </c>
      <c r="H25" s="87">
        <v>3</v>
      </c>
      <c r="I25" s="88">
        <f t="shared" si="0"/>
        <v>41</v>
      </c>
      <c r="J25" s="87">
        <v>22</v>
      </c>
      <c r="K25" s="87">
        <v>4</v>
      </c>
      <c r="L25" s="87">
        <v>0</v>
      </c>
      <c r="M25" s="87">
        <v>0</v>
      </c>
      <c r="N25" s="87">
        <v>1</v>
      </c>
      <c r="O25" s="87">
        <v>0</v>
      </c>
      <c r="P25" s="87">
        <v>1</v>
      </c>
      <c r="Q25" s="88">
        <f t="shared" si="1"/>
        <v>28</v>
      </c>
      <c r="R25" s="87">
        <f t="shared" si="9"/>
        <v>52</v>
      </c>
      <c r="S25" s="87">
        <f t="shared" si="2"/>
        <v>11</v>
      </c>
      <c r="T25" s="87">
        <f t="shared" si="3"/>
        <v>0</v>
      </c>
      <c r="U25" s="87">
        <f t="shared" si="4"/>
        <v>0</v>
      </c>
      <c r="V25" s="87">
        <f t="shared" si="5"/>
        <v>2</v>
      </c>
      <c r="W25" s="87">
        <f t="shared" si="6"/>
        <v>0</v>
      </c>
      <c r="X25" s="87">
        <f t="shared" si="7"/>
        <v>4</v>
      </c>
      <c r="Y25" s="88">
        <f t="shared" si="8"/>
        <v>69</v>
      </c>
    </row>
    <row r="26" spans="1:25" s="16" customFormat="1" ht="13.5" customHeight="1" x14ac:dyDescent="0.2">
      <c r="A26" s="60">
        <f>A25+'Internal Control-Check Sheet'!$H$26</f>
        <v>0.46875000000000033</v>
      </c>
      <c r="B26" s="87">
        <v>16</v>
      </c>
      <c r="C26" s="87">
        <v>7</v>
      </c>
      <c r="D26" s="87">
        <v>1</v>
      </c>
      <c r="E26" s="87">
        <v>0</v>
      </c>
      <c r="F26" s="87">
        <v>1</v>
      </c>
      <c r="G26" s="87">
        <v>0</v>
      </c>
      <c r="H26" s="87">
        <v>3</v>
      </c>
      <c r="I26" s="88">
        <f t="shared" si="0"/>
        <v>28</v>
      </c>
      <c r="J26" s="87">
        <v>33</v>
      </c>
      <c r="K26" s="87">
        <v>4</v>
      </c>
      <c r="L26" s="87">
        <v>1</v>
      </c>
      <c r="M26" s="87">
        <v>0</v>
      </c>
      <c r="N26" s="87">
        <v>0</v>
      </c>
      <c r="O26" s="87">
        <v>0</v>
      </c>
      <c r="P26" s="87">
        <v>2</v>
      </c>
      <c r="Q26" s="88">
        <f t="shared" si="1"/>
        <v>40</v>
      </c>
      <c r="R26" s="87">
        <f t="shared" si="9"/>
        <v>49</v>
      </c>
      <c r="S26" s="87">
        <f t="shared" si="2"/>
        <v>11</v>
      </c>
      <c r="T26" s="87">
        <f t="shared" si="3"/>
        <v>2</v>
      </c>
      <c r="U26" s="87">
        <f t="shared" si="4"/>
        <v>0</v>
      </c>
      <c r="V26" s="87">
        <f t="shared" si="5"/>
        <v>1</v>
      </c>
      <c r="W26" s="87">
        <f t="shared" si="6"/>
        <v>0</v>
      </c>
      <c r="X26" s="87">
        <f t="shared" si="7"/>
        <v>5</v>
      </c>
      <c r="Y26" s="88">
        <f t="shared" si="8"/>
        <v>68</v>
      </c>
    </row>
    <row r="27" spans="1:25" s="16" customFormat="1" ht="13.5" customHeight="1" x14ac:dyDescent="0.2">
      <c r="A27" s="60">
        <f>A26+'Internal Control-Check Sheet'!$H$26</f>
        <v>0.47916666666666702</v>
      </c>
      <c r="B27" s="87">
        <v>35</v>
      </c>
      <c r="C27" s="87">
        <v>7</v>
      </c>
      <c r="D27" s="87">
        <v>2</v>
      </c>
      <c r="E27" s="87">
        <v>0</v>
      </c>
      <c r="F27" s="87">
        <v>1</v>
      </c>
      <c r="G27" s="87">
        <v>0</v>
      </c>
      <c r="H27" s="87">
        <v>2</v>
      </c>
      <c r="I27" s="88">
        <f t="shared" si="0"/>
        <v>47</v>
      </c>
      <c r="J27" s="87">
        <v>28</v>
      </c>
      <c r="K27" s="87">
        <v>4</v>
      </c>
      <c r="L27" s="87">
        <v>1</v>
      </c>
      <c r="M27" s="87">
        <v>0</v>
      </c>
      <c r="N27" s="87">
        <v>0</v>
      </c>
      <c r="O27" s="87">
        <v>0</v>
      </c>
      <c r="P27" s="87">
        <v>0</v>
      </c>
      <c r="Q27" s="88">
        <f t="shared" si="1"/>
        <v>33</v>
      </c>
      <c r="R27" s="87">
        <f t="shared" si="9"/>
        <v>63</v>
      </c>
      <c r="S27" s="87">
        <f t="shared" si="2"/>
        <v>11</v>
      </c>
      <c r="T27" s="87">
        <f t="shared" si="3"/>
        <v>3</v>
      </c>
      <c r="U27" s="87">
        <f t="shared" si="4"/>
        <v>0</v>
      </c>
      <c r="V27" s="87">
        <f t="shared" si="5"/>
        <v>1</v>
      </c>
      <c r="W27" s="87">
        <f t="shared" si="6"/>
        <v>0</v>
      </c>
      <c r="X27" s="87">
        <f t="shared" si="7"/>
        <v>2</v>
      </c>
      <c r="Y27" s="88">
        <f t="shared" si="8"/>
        <v>80</v>
      </c>
    </row>
    <row r="28" spans="1:25" s="16" customFormat="1" ht="13.5" customHeight="1" x14ac:dyDescent="0.2">
      <c r="A28" s="60">
        <f>A27+'Internal Control-Check Sheet'!$H$26</f>
        <v>0.4895833333333337</v>
      </c>
      <c r="B28" s="87">
        <v>22</v>
      </c>
      <c r="C28" s="87">
        <v>5</v>
      </c>
      <c r="D28" s="87">
        <v>0</v>
      </c>
      <c r="E28" s="87">
        <v>0</v>
      </c>
      <c r="F28" s="87">
        <v>1</v>
      </c>
      <c r="G28" s="87">
        <v>1</v>
      </c>
      <c r="H28" s="87">
        <v>3</v>
      </c>
      <c r="I28" s="88">
        <f t="shared" si="0"/>
        <v>32</v>
      </c>
      <c r="J28" s="87">
        <v>22</v>
      </c>
      <c r="K28" s="87">
        <v>3</v>
      </c>
      <c r="L28" s="87">
        <v>0</v>
      </c>
      <c r="M28" s="87">
        <v>1</v>
      </c>
      <c r="N28" s="87">
        <v>1</v>
      </c>
      <c r="O28" s="87">
        <v>0</v>
      </c>
      <c r="P28" s="87">
        <v>1</v>
      </c>
      <c r="Q28" s="88">
        <f t="shared" si="1"/>
        <v>28</v>
      </c>
      <c r="R28" s="87">
        <f t="shared" si="9"/>
        <v>44</v>
      </c>
      <c r="S28" s="87">
        <f t="shared" si="2"/>
        <v>8</v>
      </c>
      <c r="T28" s="87">
        <f t="shared" si="3"/>
        <v>0</v>
      </c>
      <c r="U28" s="87">
        <f t="shared" si="4"/>
        <v>1</v>
      </c>
      <c r="V28" s="87">
        <f t="shared" si="5"/>
        <v>2</v>
      </c>
      <c r="W28" s="87">
        <f t="shared" si="6"/>
        <v>1</v>
      </c>
      <c r="X28" s="87">
        <f t="shared" si="7"/>
        <v>4</v>
      </c>
      <c r="Y28" s="88">
        <f t="shared" si="8"/>
        <v>60</v>
      </c>
    </row>
    <row r="29" spans="1:25" s="16" customFormat="1" ht="13.5" customHeight="1" x14ac:dyDescent="0.2">
      <c r="A29" s="56">
        <f>A28+'Internal Control-Check Sheet'!$H$26</f>
        <v>0.50000000000000033</v>
      </c>
      <c r="B29" s="87">
        <v>31</v>
      </c>
      <c r="C29" s="87">
        <v>7</v>
      </c>
      <c r="D29" s="87">
        <v>2</v>
      </c>
      <c r="E29" s="87">
        <v>1</v>
      </c>
      <c r="F29" s="87">
        <v>0</v>
      </c>
      <c r="G29" s="87">
        <v>0</v>
      </c>
      <c r="H29" s="87">
        <v>4</v>
      </c>
      <c r="I29" s="88">
        <f t="shared" si="0"/>
        <v>45</v>
      </c>
      <c r="J29" s="87">
        <v>29</v>
      </c>
      <c r="K29" s="87">
        <v>5</v>
      </c>
      <c r="L29" s="87">
        <v>0</v>
      </c>
      <c r="M29" s="87">
        <v>0</v>
      </c>
      <c r="N29" s="87">
        <v>1</v>
      </c>
      <c r="O29" s="87">
        <v>0</v>
      </c>
      <c r="P29" s="87">
        <v>0</v>
      </c>
      <c r="Q29" s="88">
        <f t="shared" si="1"/>
        <v>35</v>
      </c>
      <c r="R29" s="87">
        <f t="shared" si="9"/>
        <v>60</v>
      </c>
      <c r="S29" s="87">
        <f t="shared" si="2"/>
        <v>12</v>
      </c>
      <c r="T29" s="87">
        <f t="shared" si="3"/>
        <v>2</v>
      </c>
      <c r="U29" s="87">
        <f t="shared" si="4"/>
        <v>1</v>
      </c>
      <c r="V29" s="87">
        <f t="shared" si="5"/>
        <v>1</v>
      </c>
      <c r="W29" s="87">
        <f t="shared" si="6"/>
        <v>0</v>
      </c>
      <c r="X29" s="87">
        <f t="shared" si="7"/>
        <v>4</v>
      </c>
      <c r="Y29" s="88">
        <f t="shared" si="8"/>
        <v>80</v>
      </c>
    </row>
    <row r="30" spans="1:25" s="16" customFormat="1" ht="13.5" customHeight="1" x14ac:dyDescent="0.2">
      <c r="A30" s="59">
        <f>A29+'Internal Control-Check Sheet'!$H$26</f>
        <v>0.51041666666666696</v>
      </c>
      <c r="B30" s="87">
        <v>34</v>
      </c>
      <c r="C30" s="87">
        <v>8</v>
      </c>
      <c r="D30" s="87">
        <v>0</v>
      </c>
      <c r="E30" s="87">
        <v>0</v>
      </c>
      <c r="F30" s="87">
        <v>1</v>
      </c>
      <c r="G30" s="87">
        <v>1</v>
      </c>
      <c r="H30" s="87">
        <v>0</v>
      </c>
      <c r="I30" s="88">
        <f t="shared" si="0"/>
        <v>44</v>
      </c>
      <c r="J30" s="87">
        <v>23</v>
      </c>
      <c r="K30" s="87">
        <v>1</v>
      </c>
      <c r="L30" s="87">
        <v>0</v>
      </c>
      <c r="M30" s="87">
        <v>0</v>
      </c>
      <c r="N30" s="87">
        <v>1</v>
      </c>
      <c r="O30" s="87">
        <v>0</v>
      </c>
      <c r="P30" s="87">
        <v>1</v>
      </c>
      <c r="Q30" s="88">
        <f t="shared" si="1"/>
        <v>26</v>
      </c>
      <c r="R30" s="87">
        <f t="shared" si="9"/>
        <v>57</v>
      </c>
      <c r="S30" s="87">
        <f t="shared" si="2"/>
        <v>9</v>
      </c>
      <c r="T30" s="87">
        <f t="shared" si="3"/>
        <v>0</v>
      </c>
      <c r="U30" s="87">
        <f t="shared" si="4"/>
        <v>0</v>
      </c>
      <c r="V30" s="87">
        <f t="shared" si="5"/>
        <v>2</v>
      </c>
      <c r="W30" s="87">
        <f t="shared" si="6"/>
        <v>1</v>
      </c>
      <c r="X30" s="87">
        <f t="shared" si="7"/>
        <v>1</v>
      </c>
      <c r="Y30" s="88">
        <f t="shared" si="8"/>
        <v>70</v>
      </c>
    </row>
    <row r="31" spans="1:25" s="16" customFormat="1" ht="13.5" customHeight="1" x14ac:dyDescent="0.2">
      <c r="A31" s="60">
        <f>A30+'Internal Control-Check Sheet'!$H$26</f>
        <v>0.52083333333333359</v>
      </c>
      <c r="B31" s="87">
        <v>35</v>
      </c>
      <c r="C31" s="87">
        <v>9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8">
        <f t="shared" si="0"/>
        <v>44</v>
      </c>
      <c r="J31" s="87">
        <v>29</v>
      </c>
      <c r="K31" s="87">
        <v>6</v>
      </c>
      <c r="L31" s="87">
        <v>1</v>
      </c>
      <c r="M31" s="87">
        <v>0</v>
      </c>
      <c r="N31" s="87">
        <v>1</v>
      </c>
      <c r="O31" s="87">
        <v>0</v>
      </c>
      <c r="P31" s="87">
        <v>1</v>
      </c>
      <c r="Q31" s="88">
        <f t="shared" si="1"/>
        <v>38</v>
      </c>
      <c r="R31" s="87">
        <f t="shared" si="9"/>
        <v>64</v>
      </c>
      <c r="S31" s="87">
        <f t="shared" si="2"/>
        <v>15</v>
      </c>
      <c r="T31" s="87">
        <f t="shared" si="3"/>
        <v>1</v>
      </c>
      <c r="U31" s="87">
        <f t="shared" si="4"/>
        <v>0</v>
      </c>
      <c r="V31" s="87">
        <f t="shared" si="5"/>
        <v>1</v>
      </c>
      <c r="W31" s="87">
        <f t="shared" si="6"/>
        <v>0</v>
      </c>
      <c r="X31" s="87">
        <f t="shared" si="7"/>
        <v>1</v>
      </c>
      <c r="Y31" s="88">
        <f t="shared" si="8"/>
        <v>82</v>
      </c>
    </row>
    <row r="32" spans="1:25" s="16" customFormat="1" ht="13.5" customHeight="1" x14ac:dyDescent="0.2">
      <c r="A32" s="59">
        <f>A31+'Internal Control-Check Sheet'!$H$26</f>
        <v>0.53125000000000022</v>
      </c>
      <c r="B32" s="87">
        <v>31</v>
      </c>
      <c r="C32" s="87">
        <v>10</v>
      </c>
      <c r="D32" s="87">
        <v>0</v>
      </c>
      <c r="E32" s="87">
        <v>0</v>
      </c>
      <c r="F32" s="87">
        <v>0</v>
      </c>
      <c r="G32" s="87">
        <v>2</v>
      </c>
      <c r="H32" s="87">
        <v>4</v>
      </c>
      <c r="I32" s="88">
        <f t="shared" si="0"/>
        <v>47</v>
      </c>
      <c r="J32" s="87">
        <v>21</v>
      </c>
      <c r="K32" s="87">
        <v>3</v>
      </c>
      <c r="L32" s="87">
        <v>1</v>
      </c>
      <c r="M32" s="87">
        <v>0</v>
      </c>
      <c r="N32" s="87">
        <v>0</v>
      </c>
      <c r="O32" s="87">
        <v>0</v>
      </c>
      <c r="P32" s="87">
        <v>3</v>
      </c>
      <c r="Q32" s="88">
        <f t="shared" si="1"/>
        <v>28</v>
      </c>
      <c r="R32" s="87">
        <f t="shared" si="9"/>
        <v>52</v>
      </c>
      <c r="S32" s="87">
        <f t="shared" si="2"/>
        <v>13</v>
      </c>
      <c r="T32" s="87">
        <f t="shared" si="3"/>
        <v>1</v>
      </c>
      <c r="U32" s="87">
        <f t="shared" si="4"/>
        <v>0</v>
      </c>
      <c r="V32" s="87">
        <f t="shared" si="5"/>
        <v>0</v>
      </c>
      <c r="W32" s="87">
        <f t="shared" si="6"/>
        <v>2</v>
      </c>
      <c r="X32" s="87">
        <f t="shared" si="7"/>
        <v>7</v>
      </c>
      <c r="Y32" s="88">
        <f t="shared" si="8"/>
        <v>75</v>
      </c>
    </row>
    <row r="33" spans="1:25" s="16" customFormat="1" ht="13.5" customHeight="1" x14ac:dyDescent="0.2">
      <c r="A33" s="60">
        <f>A32+'Internal Control-Check Sheet'!$H$26</f>
        <v>0.54166666666666685</v>
      </c>
      <c r="B33" s="87">
        <v>30</v>
      </c>
      <c r="C33" s="87">
        <v>3</v>
      </c>
      <c r="D33" s="87">
        <v>2</v>
      </c>
      <c r="E33" s="87">
        <v>0</v>
      </c>
      <c r="F33" s="87">
        <v>1</v>
      </c>
      <c r="G33" s="87">
        <v>0</v>
      </c>
      <c r="H33" s="87">
        <v>0</v>
      </c>
      <c r="I33" s="88">
        <f t="shared" si="0"/>
        <v>36</v>
      </c>
      <c r="J33" s="87">
        <v>21</v>
      </c>
      <c r="K33" s="87">
        <v>6</v>
      </c>
      <c r="L33" s="87">
        <v>2</v>
      </c>
      <c r="M33" s="87">
        <v>0</v>
      </c>
      <c r="N33" s="87">
        <v>1</v>
      </c>
      <c r="O33" s="87">
        <v>0</v>
      </c>
      <c r="P33" s="87">
        <v>1</v>
      </c>
      <c r="Q33" s="88">
        <f t="shared" si="1"/>
        <v>31</v>
      </c>
      <c r="R33" s="87">
        <f t="shared" si="9"/>
        <v>51</v>
      </c>
      <c r="S33" s="87">
        <f t="shared" si="2"/>
        <v>9</v>
      </c>
      <c r="T33" s="87">
        <f t="shared" si="3"/>
        <v>4</v>
      </c>
      <c r="U33" s="87">
        <f t="shared" si="4"/>
        <v>0</v>
      </c>
      <c r="V33" s="87">
        <f t="shared" si="5"/>
        <v>2</v>
      </c>
      <c r="W33" s="87">
        <f t="shared" si="6"/>
        <v>0</v>
      </c>
      <c r="X33" s="87">
        <f t="shared" si="7"/>
        <v>1</v>
      </c>
      <c r="Y33" s="88">
        <f t="shared" si="8"/>
        <v>67</v>
      </c>
    </row>
    <row r="34" spans="1:25" s="16" customFormat="1" ht="13.5" customHeight="1" x14ac:dyDescent="0.2">
      <c r="A34" s="60">
        <f>A33+'Internal Control-Check Sheet'!$H$26</f>
        <v>0.55208333333333348</v>
      </c>
      <c r="B34" s="87">
        <v>35</v>
      </c>
      <c r="C34" s="87">
        <v>6</v>
      </c>
      <c r="D34" s="87">
        <v>1</v>
      </c>
      <c r="E34" s="87">
        <v>0</v>
      </c>
      <c r="F34" s="87">
        <v>1</v>
      </c>
      <c r="G34" s="87">
        <v>1</v>
      </c>
      <c r="H34" s="87">
        <v>5</v>
      </c>
      <c r="I34" s="88">
        <f t="shared" si="0"/>
        <v>49</v>
      </c>
      <c r="J34" s="87">
        <v>49</v>
      </c>
      <c r="K34" s="87">
        <v>6</v>
      </c>
      <c r="L34" s="87">
        <v>2</v>
      </c>
      <c r="M34" s="87">
        <v>0</v>
      </c>
      <c r="N34" s="87">
        <v>0</v>
      </c>
      <c r="O34" s="87">
        <v>0</v>
      </c>
      <c r="P34" s="87">
        <v>1</v>
      </c>
      <c r="Q34" s="88">
        <f t="shared" si="1"/>
        <v>58</v>
      </c>
      <c r="R34" s="87">
        <f t="shared" si="9"/>
        <v>84</v>
      </c>
      <c r="S34" s="87">
        <f t="shared" si="2"/>
        <v>12</v>
      </c>
      <c r="T34" s="87">
        <f t="shared" si="3"/>
        <v>3</v>
      </c>
      <c r="U34" s="87">
        <f t="shared" si="4"/>
        <v>0</v>
      </c>
      <c r="V34" s="87">
        <f t="shared" si="5"/>
        <v>1</v>
      </c>
      <c r="W34" s="87">
        <f t="shared" si="6"/>
        <v>1</v>
      </c>
      <c r="X34" s="87">
        <f t="shared" si="7"/>
        <v>6</v>
      </c>
      <c r="Y34" s="88">
        <f t="shared" si="8"/>
        <v>107</v>
      </c>
    </row>
    <row r="35" spans="1:25" s="16" customFormat="1" ht="13.5" customHeight="1" x14ac:dyDescent="0.2">
      <c r="A35" s="60">
        <f>A34+'Internal Control-Check Sheet'!$H$26</f>
        <v>0.56250000000000011</v>
      </c>
      <c r="B35" s="87">
        <v>37</v>
      </c>
      <c r="C35" s="87">
        <v>8</v>
      </c>
      <c r="D35" s="87">
        <v>3</v>
      </c>
      <c r="E35" s="87">
        <v>0</v>
      </c>
      <c r="F35" s="87">
        <v>0</v>
      </c>
      <c r="G35" s="87">
        <v>0</v>
      </c>
      <c r="H35" s="87">
        <v>2</v>
      </c>
      <c r="I35" s="88">
        <f t="shared" si="0"/>
        <v>50</v>
      </c>
      <c r="J35" s="87">
        <v>40</v>
      </c>
      <c r="K35" s="87">
        <v>3</v>
      </c>
      <c r="L35" s="87">
        <v>1</v>
      </c>
      <c r="M35" s="87">
        <v>1</v>
      </c>
      <c r="N35" s="87">
        <v>1</v>
      </c>
      <c r="O35" s="87">
        <v>0</v>
      </c>
      <c r="P35" s="87">
        <v>1</v>
      </c>
      <c r="Q35" s="88">
        <f t="shared" si="1"/>
        <v>47</v>
      </c>
      <c r="R35" s="87">
        <f t="shared" si="9"/>
        <v>77</v>
      </c>
      <c r="S35" s="87">
        <f t="shared" si="2"/>
        <v>11</v>
      </c>
      <c r="T35" s="87">
        <f t="shared" si="3"/>
        <v>4</v>
      </c>
      <c r="U35" s="87">
        <f t="shared" si="4"/>
        <v>1</v>
      </c>
      <c r="V35" s="87">
        <f t="shared" si="5"/>
        <v>1</v>
      </c>
      <c r="W35" s="87">
        <f t="shared" si="6"/>
        <v>0</v>
      </c>
      <c r="X35" s="87">
        <f t="shared" si="7"/>
        <v>3</v>
      </c>
      <c r="Y35" s="88">
        <f t="shared" si="8"/>
        <v>97</v>
      </c>
    </row>
    <row r="36" spans="1:25" s="16" customFormat="1" ht="13.5" customHeight="1" x14ac:dyDescent="0.2">
      <c r="A36" s="60">
        <f>A35+'Internal Control-Check Sheet'!$H$26</f>
        <v>0.57291666666666674</v>
      </c>
      <c r="B36" s="87">
        <v>36</v>
      </c>
      <c r="C36" s="87">
        <v>7</v>
      </c>
      <c r="D36" s="87">
        <v>0</v>
      </c>
      <c r="E36" s="87">
        <v>0</v>
      </c>
      <c r="F36" s="87">
        <v>1</v>
      </c>
      <c r="G36" s="87">
        <v>0</v>
      </c>
      <c r="H36" s="87">
        <v>4</v>
      </c>
      <c r="I36" s="88">
        <f t="shared" si="0"/>
        <v>48</v>
      </c>
      <c r="J36" s="87">
        <v>27</v>
      </c>
      <c r="K36" s="87">
        <v>4</v>
      </c>
      <c r="L36" s="87">
        <v>0</v>
      </c>
      <c r="M36" s="87">
        <v>0</v>
      </c>
      <c r="N36" s="87">
        <v>0</v>
      </c>
      <c r="O36" s="87">
        <v>0</v>
      </c>
      <c r="P36" s="87">
        <v>1</v>
      </c>
      <c r="Q36" s="88">
        <f t="shared" si="1"/>
        <v>32</v>
      </c>
      <c r="R36" s="87">
        <f t="shared" si="9"/>
        <v>63</v>
      </c>
      <c r="S36" s="87">
        <f t="shared" si="2"/>
        <v>11</v>
      </c>
      <c r="T36" s="87">
        <f t="shared" si="3"/>
        <v>0</v>
      </c>
      <c r="U36" s="87">
        <f t="shared" si="4"/>
        <v>0</v>
      </c>
      <c r="V36" s="87">
        <f t="shared" si="5"/>
        <v>1</v>
      </c>
      <c r="W36" s="87">
        <f t="shared" si="6"/>
        <v>0</v>
      </c>
      <c r="X36" s="87">
        <f t="shared" si="7"/>
        <v>5</v>
      </c>
      <c r="Y36" s="88">
        <f t="shared" si="8"/>
        <v>80</v>
      </c>
    </row>
    <row r="37" spans="1:25" s="16" customFormat="1" ht="13.5" customHeight="1" x14ac:dyDescent="0.2">
      <c r="A37" s="60">
        <f>A36+'Internal Control-Check Sheet'!$H$26</f>
        <v>0.58333333333333337</v>
      </c>
      <c r="B37" s="87">
        <v>33</v>
      </c>
      <c r="C37" s="87">
        <v>7</v>
      </c>
      <c r="D37" s="87">
        <v>0</v>
      </c>
      <c r="E37" s="87">
        <v>0</v>
      </c>
      <c r="F37" s="87">
        <v>0</v>
      </c>
      <c r="G37" s="87">
        <v>0</v>
      </c>
      <c r="H37" s="87">
        <v>2</v>
      </c>
      <c r="I37" s="88">
        <f t="shared" si="0"/>
        <v>42</v>
      </c>
      <c r="J37" s="87">
        <v>24</v>
      </c>
      <c r="K37" s="87">
        <v>6</v>
      </c>
      <c r="L37" s="87">
        <v>4</v>
      </c>
      <c r="M37" s="87">
        <v>0</v>
      </c>
      <c r="N37" s="87">
        <v>1</v>
      </c>
      <c r="O37" s="87">
        <v>0</v>
      </c>
      <c r="P37" s="87">
        <v>2</v>
      </c>
      <c r="Q37" s="88">
        <f t="shared" si="1"/>
        <v>37</v>
      </c>
      <c r="R37" s="87">
        <f t="shared" si="9"/>
        <v>57</v>
      </c>
      <c r="S37" s="87">
        <f t="shared" si="2"/>
        <v>13</v>
      </c>
      <c r="T37" s="87">
        <f t="shared" si="3"/>
        <v>4</v>
      </c>
      <c r="U37" s="87">
        <f t="shared" si="4"/>
        <v>0</v>
      </c>
      <c r="V37" s="87">
        <f t="shared" si="5"/>
        <v>1</v>
      </c>
      <c r="W37" s="87">
        <f t="shared" si="6"/>
        <v>0</v>
      </c>
      <c r="X37" s="87">
        <f t="shared" si="7"/>
        <v>4</v>
      </c>
      <c r="Y37" s="88">
        <f t="shared" si="8"/>
        <v>79</v>
      </c>
    </row>
    <row r="38" spans="1:25" s="16" customFormat="1" ht="13.5" customHeight="1" x14ac:dyDescent="0.2">
      <c r="A38" s="60">
        <f>A37+'Internal Control-Check Sheet'!$H$26</f>
        <v>0.59375</v>
      </c>
      <c r="B38" s="87">
        <v>31</v>
      </c>
      <c r="C38" s="87">
        <v>10</v>
      </c>
      <c r="D38" s="87">
        <v>1</v>
      </c>
      <c r="E38" s="87">
        <v>0</v>
      </c>
      <c r="F38" s="87">
        <v>1</v>
      </c>
      <c r="G38" s="87">
        <v>0</v>
      </c>
      <c r="H38" s="87">
        <v>5</v>
      </c>
      <c r="I38" s="88">
        <f t="shared" si="0"/>
        <v>48</v>
      </c>
      <c r="J38" s="87">
        <v>26</v>
      </c>
      <c r="K38" s="87">
        <v>7</v>
      </c>
      <c r="L38" s="87">
        <v>0</v>
      </c>
      <c r="M38" s="87">
        <v>0</v>
      </c>
      <c r="N38" s="87">
        <v>0</v>
      </c>
      <c r="O38" s="87">
        <v>0</v>
      </c>
      <c r="P38" s="87">
        <v>2</v>
      </c>
      <c r="Q38" s="88">
        <f t="shared" si="1"/>
        <v>35</v>
      </c>
      <c r="R38" s="87">
        <f t="shared" si="9"/>
        <v>57</v>
      </c>
      <c r="S38" s="87">
        <f t="shared" si="2"/>
        <v>17</v>
      </c>
      <c r="T38" s="87">
        <f t="shared" si="3"/>
        <v>1</v>
      </c>
      <c r="U38" s="87">
        <f t="shared" si="4"/>
        <v>0</v>
      </c>
      <c r="V38" s="87">
        <f t="shared" si="5"/>
        <v>1</v>
      </c>
      <c r="W38" s="87">
        <f t="shared" si="6"/>
        <v>0</v>
      </c>
      <c r="X38" s="87">
        <f t="shared" si="7"/>
        <v>7</v>
      </c>
      <c r="Y38" s="88">
        <f t="shared" si="8"/>
        <v>83</v>
      </c>
    </row>
    <row r="39" spans="1:25" s="16" customFormat="1" ht="13.5" customHeight="1" x14ac:dyDescent="0.2">
      <c r="A39" s="56">
        <f>A38+'Internal Control-Check Sheet'!$H$26</f>
        <v>0.60416666666666663</v>
      </c>
      <c r="B39" s="87">
        <v>40</v>
      </c>
      <c r="C39" s="87">
        <v>4</v>
      </c>
      <c r="D39" s="87">
        <v>0</v>
      </c>
      <c r="E39" s="87">
        <v>0</v>
      </c>
      <c r="F39" s="87">
        <v>0</v>
      </c>
      <c r="G39" s="87">
        <v>1</v>
      </c>
      <c r="H39" s="87">
        <v>4</v>
      </c>
      <c r="I39" s="88">
        <f t="shared" si="0"/>
        <v>49</v>
      </c>
      <c r="J39" s="87">
        <v>30</v>
      </c>
      <c r="K39" s="87">
        <v>7</v>
      </c>
      <c r="L39" s="87">
        <v>0</v>
      </c>
      <c r="M39" s="87">
        <v>0</v>
      </c>
      <c r="N39" s="87">
        <v>1</v>
      </c>
      <c r="O39" s="87">
        <v>1</v>
      </c>
      <c r="P39" s="87">
        <v>2</v>
      </c>
      <c r="Q39" s="88">
        <f t="shared" si="1"/>
        <v>41</v>
      </c>
      <c r="R39" s="87">
        <f t="shared" si="9"/>
        <v>70</v>
      </c>
      <c r="S39" s="87">
        <f t="shared" si="2"/>
        <v>11</v>
      </c>
      <c r="T39" s="87">
        <f t="shared" si="3"/>
        <v>0</v>
      </c>
      <c r="U39" s="87">
        <f t="shared" si="4"/>
        <v>0</v>
      </c>
      <c r="V39" s="87">
        <f t="shared" si="5"/>
        <v>1</v>
      </c>
      <c r="W39" s="87">
        <f t="shared" si="6"/>
        <v>2</v>
      </c>
      <c r="X39" s="87">
        <f t="shared" si="7"/>
        <v>6</v>
      </c>
      <c r="Y39" s="88">
        <f t="shared" si="8"/>
        <v>90</v>
      </c>
    </row>
    <row r="40" spans="1:25" s="16" customFormat="1" ht="13.5" customHeight="1" x14ac:dyDescent="0.2">
      <c r="A40" s="59">
        <f>A39+'Internal Control-Check Sheet'!$H$26</f>
        <v>0.61458333333333326</v>
      </c>
      <c r="B40" s="87">
        <v>36</v>
      </c>
      <c r="C40" s="87">
        <v>2</v>
      </c>
      <c r="D40" s="87">
        <v>0</v>
      </c>
      <c r="E40" s="87">
        <v>0</v>
      </c>
      <c r="F40" s="87">
        <v>0</v>
      </c>
      <c r="G40" s="87">
        <v>1</v>
      </c>
      <c r="H40" s="87">
        <v>2</v>
      </c>
      <c r="I40" s="88">
        <f t="shared" si="0"/>
        <v>41</v>
      </c>
      <c r="J40" s="87">
        <v>33</v>
      </c>
      <c r="K40" s="87">
        <v>5</v>
      </c>
      <c r="L40" s="87">
        <v>0</v>
      </c>
      <c r="M40" s="87">
        <v>0</v>
      </c>
      <c r="N40" s="87">
        <v>0</v>
      </c>
      <c r="O40" s="87">
        <v>1</v>
      </c>
      <c r="P40" s="87">
        <v>1</v>
      </c>
      <c r="Q40" s="88">
        <f t="shared" si="1"/>
        <v>40</v>
      </c>
      <c r="R40" s="87">
        <f t="shared" si="9"/>
        <v>69</v>
      </c>
      <c r="S40" s="87">
        <f t="shared" si="2"/>
        <v>7</v>
      </c>
      <c r="T40" s="87">
        <f t="shared" si="3"/>
        <v>0</v>
      </c>
      <c r="U40" s="87">
        <f t="shared" si="4"/>
        <v>0</v>
      </c>
      <c r="V40" s="87">
        <f t="shared" si="5"/>
        <v>0</v>
      </c>
      <c r="W40" s="87">
        <f t="shared" si="6"/>
        <v>2</v>
      </c>
      <c r="X40" s="87">
        <f t="shared" si="7"/>
        <v>3</v>
      </c>
      <c r="Y40" s="88">
        <f t="shared" si="8"/>
        <v>81</v>
      </c>
    </row>
    <row r="41" spans="1:25" s="16" customFormat="1" ht="13.5" customHeight="1" x14ac:dyDescent="0.2">
      <c r="A41" s="60">
        <f>A40+'Internal Control-Check Sheet'!$H$26</f>
        <v>0.62499999999999989</v>
      </c>
      <c r="B41" s="87">
        <v>24</v>
      </c>
      <c r="C41" s="87">
        <v>8</v>
      </c>
      <c r="D41" s="87">
        <v>1</v>
      </c>
      <c r="E41" s="87">
        <v>0</v>
      </c>
      <c r="F41" s="87">
        <v>0</v>
      </c>
      <c r="G41" s="87">
        <v>0</v>
      </c>
      <c r="H41" s="87">
        <v>4</v>
      </c>
      <c r="I41" s="88">
        <f t="shared" si="0"/>
        <v>37</v>
      </c>
      <c r="J41" s="87">
        <v>36</v>
      </c>
      <c r="K41" s="87">
        <v>5</v>
      </c>
      <c r="L41" s="87">
        <v>0</v>
      </c>
      <c r="M41" s="87">
        <v>0</v>
      </c>
      <c r="N41" s="87">
        <v>0</v>
      </c>
      <c r="O41" s="87">
        <v>0</v>
      </c>
      <c r="P41" s="87">
        <v>1</v>
      </c>
      <c r="Q41" s="88">
        <f t="shared" si="1"/>
        <v>42</v>
      </c>
      <c r="R41" s="87">
        <f t="shared" si="9"/>
        <v>60</v>
      </c>
      <c r="S41" s="87">
        <f t="shared" si="2"/>
        <v>13</v>
      </c>
      <c r="T41" s="87">
        <f t="shared" si="3"/>
        <v>1</v>
      </c>
      <c r="U41" s="87">
        <f t="shared" si="4"/>
        <v>0</v>
      </c>
      <c r="V41" s="87">
        <f t="shared" si="5"/>
        <v>0</v>
      </c>
      <c r="W41" s="87">
        <f t="shared" si="6"/>
        <v>0</v>
      </c>
      <c r="X41" s="87">
        <f t="shared" si="7"/>
        <v>5</v>
      </c>
      <c r="Y41" s="88">
        <f t="shared" si="8"/>
        <v>79</v>
      </c>
    </row>
    <row r="42" spans="1:25" s="16" customFormat="1" ht="13.5" customHeight="1" x14ac:dyDescent="0.2">
      <c r="A42" s="59">
        <f>A41+'Internal Control-Check Sheet'!$H$26</f>
        <v>0.63541666666666652</v>
      </c>
      <c r="B42" s="87">
        <v>31</v>
      </c>
      <c r="C42" s="87">
        <v>5</v>
      </c>
      <c r="D42" s="87">
        <v>0</v>
      </c>
      <c r="E42" s="87">
        <v>0</v>
      </c>
      <c r="F42" s="87">
        <v>2</v>
      </c>
      <c r="G42" s="87">
        <v>0</v>
      </c>
      <c r="H42" s="87">
        <v>4</v>
      </c>
      <c r="I42" s="88">
        <f t="shared" si="0"/>
        <v>42</v>
      </c>
      <c r="J42" s="87">
        <v>37</v>
      </c>
      <c r="K42" s="87">
        <v>5</v>
      </c>
      <c r="L42" s="87">
        <v>3</v>
      </c>
      <c r="M42" s="87">
        <v>0</v>
      </c>
      <c r="N42" s="87">
        <v>1</v>
      </c>
      <c r="O42" s="87">
        <v>0</v>
      </c>
      <c r="P42" s="87">
        <v>2</v>
      </c>
      <c r="Q42" s="88">
        <f t="shared" si="1"/>
        <v>48</v>
      </c>
      <c r="R42" s="87">
        <f t="shared" si="9"/>
        <v>68</v>
      </c>
      <c r="S42" s="87">
        <f t="shared" si="2"/>
        <v>10</v>
      </c>
      <c r="T42" s="87">
        <f t="shared" si="3"/>
        <v>3</v>
      </c>
      <c r="U42" s="87">
        <f t="shared" si="4"/>
        <v>0</v>
      </c>
      <c r="V42" s="87">
        <f t="shared" si="5"/>
        <v>3</v>
      </c>
      <c r="W42" s="87">
        <f t="shared" si="6"/>
        <v>0</v>
      </c>
      <c r="X42" s="87">
        <f t="shared" si="7"/>
        <v>6</v>
      </c>
      <c r="Y42" s="88">
        <f t="shared" si="8"/>
        <v>90</v>
      </c>
    </row>
    <row r="43" spans="1:25" s="16" customFormat="1" ht="13.5" customHeight="1" x14ac:dyDescent="0.2">
      <c r="A43" s="60">
        <f>A42+'Internal Control-Check Sheet'!$H$26</f>
        <v>0.64583333333333315</v>
      </c>
      <c r="B43" s="87">
        <v>50</v>
      </c>
      <c r="C43" s="87">
        <v>3</v>
      </c>
      <c r="D43" s="87">
        <v>1</v>
      </c>
      <c r="E43" s="87">
        <v>0</v>
      </c>
      <c r="F43" s="87">
        <v>1</v>
      </c>
      <c r="G43" s="87">
        <v>0</v>
      </c>
      <c r="H43" s="87">
        <v>4</v>
      </c>
      <c r="I43" s="88">
        <f t="shared" si="0"/>
        <v>59</v>
      </c>
      <c r="J43" s="87">
        <v>46</v>
      </c>
      <c r="K43" s="87">
        <v>4</v>
      </c>
      <c r="L43" s="87">
        <v>1</v>
      </c>
      <c r="M43" s="87">
        <v>0</v>
      </c>
      <c r="N43" s="87">
        <v>0</v>
      </c>
      <c r="O43" s="87">
        <v>0</v>
      </c>
      <c r="P43" s="87">
        <v>1</v>
      </c>
      <c r="Q43" s="88">
        <f t="shared" si="1"/>
        <v>52</v>
      </c>
      <c r="R43" s="87">
        <f t="shared" si="9"/>
        <v>96</v>
      </c>
      <c r="S43" s="87">
        <f t="shared" si="2"/>
        <v>7</v>
      </c>
      <c r="T43" s="87">
        <f t="shared" si="3"/>
        <v>2</v>
      </c>
      <c r="U43" s="87">
        <f t="shared" si="4"/>
        <v>0</v>
      </c>
      <c r="V43" s="87">
        <f t="shared" si="5"/>
        <v>1</v>
      </c>
      <c r="W43" s="87">
        <f t="shared" si="6"/>
        <v>0</v>
      </c>
      <c r="X43" s="87">
        <f t="shared" si="7"/>
        <v>5</v>
      </c>
      <c r="Y43" s="88">
        <f t="shared" si="8"/>
        <v>111</v>
      </c>
    </row>
    <row r="44" spans="1:25" s="16" customFormat="1" ht="13.5" customHeight="1" x14ac:dyDescent="0.2">
      <c r="A44" s="60">
        <f>A43+'Internal Control-Check Sheet'!$H$26</f>
        <v>0.65624999999999978</v>
      </c>
      <c r="B44" s="87">
        <v>41</v>
      </c>
      <c r="C44" s="87">
        <v>6</v>
      </c>
      <c r="D44" s="87">
        <v>1</v>
      </c>
      <c r="E44" s="87">
        <v>0</v>
      </c>
      <c r="F44" s="87">
        <v>1</v>
      </c>
      <c r="G44" s="87">
        <v>0</v>
      </c>
      <c r="H44" s="87">
        <v>1</v>
      </c>
      <c r="I44" s="88">
        <f t="shared" si="0"/>
        <v>50</v>
      </c>
      <c r="J44" s="87">
        <v>49</v>
      </c>
      <c r="K44" s="87">
        <v>5</v>
      </c>
      <c r="L44" s="87">
        <v>1</v>
      </c>
      <c r="M44" s="87">
        <v>0</v>
      </c>
      <c r="N44" s="87">
        <v>0</v>
      </c>
      <c r="O44" s="87">
        <v>0</v>
      </c>
      <c r="P44" s="87">
        <v>3</v>
      </c>
      <c r="Q44" s="88">
        <f t="shared" si="1"/>
        <v>58</v>
      </c>
      <c r="R44" s="87">
        <f t="shared" si="9"/>
        <v>90</v>
      </c>
      <c r="S44" s="87">
        <f t="shared" si="2"/>
        <v>11</v>
      </c>
      <c r="T44" s="87">
        <f t="shared" si="3"/>
        <v>2</v>
      </c>
      <c r="U44" s="87">
        <f t="shared" si="4"/>
        <v>0</v>
      </c>
      <c r="V44" s="87">
        <f t="shared" si="5"/>
        <v>1</v>
      </c>
      <c r="W44" s="87">
        <f t="shared" si="6"/>
        <v>0</v>
      </c>
      <c r="X44" s="87">
        <f t="shared" si="7"/>
        <v>4</v>
      </c>
      <c r="Y44" s="88">
        <f t="shared" si="8"/>
        <v>108</v>
      </c>
    </row>
    <row r="45" spans="1:25" s="16" customFormat="1" ht="13.5" customHeight="1" x14ac:dyDescent="0.2">
      <c r="A45" s="60">
        <f>A44+'Internal Control-Check Sheet'!$H$26</f>
        <v>0.66666666666666641</v>
      </c>
      <c r="B45" s="87">
        <v>32</v>
      </c>
      <c r="C45" s="87">
        <v>7</v>
      </c>
      <c r="D45" s="87">
        <v>1</v>
      </c>
      <c r="E45" s="87">
        <v>0</v>
      </c>
      <c r="F45" s="87">
        <v>0</v>
      </c>
      <c r="G45" s="87">
        <v>0</v>
      </c>
      <c r="H45" s="87">
        <v>1</v>
      </c>
      <c r="I45" s="88">
        <f t="shared" si="0"/>
        <v>41</v>
      </c>
      <c r="J45" s="87">
        <v>45</v>
      </c>
      <c r="K45" s="87">
        <v>9</v>
      </c>
      <c r="L45" s="87">
        <v>0</v>
      </c>
      <c r="M45" s="87">
        <v>0</v>
      </c>
      <c r="N45" s="87">
        <v>1</v>
      </c>
      <c r="O45" s="87">
        <v>0</v>
      </c>
      <c r="P45" s="87">
        <v>1</v>
      </c>
      <c r="Q45" s="88">
        <f t="shared" si="1"/>
        <v>56</v>
      </c>
      <c r="R45" s="87">
        <f t="shared" si="9"/>
        <v>77</v>
      </c>
      <c r="S45" s="87">
        <f t="shared" si="2"/>
        <v>16</v>
      </c>
      <c r="T45" s="87">
        <f t="shared" si="3"/>
        <v>1</v>
      </c>
      <c r="U45" s="87">
        <f t="shared" si="4"/>
        <v>0</v>
      </c>
      <c r="V45" s="87">
        <f t="shared" si="5"/>
        <v>1</v>
      </c>
      <c r="W45" s="87">
        <f t="shared" si="6"/>
        <v>0</v>
      </c>
      <c r="X45" s="87">
        <f t="shared" si="7"/>
        <v>2</v>
      </c>
      <c r="Y45" s="88">
        <f t="shared" si="8"/>
        <v>97</v>
      </c>
    </row>
    <row r="46" spans="1:25" s="16" customFormat="1" ht="13.5" customHeight="1" x14ac:dyDescent="0.2">
      <c r="A46" s="60">
        <f>A45+'Internal Control-Check Sheet'!$H$26</f>
        <v>0.67708333333333304</v>
      </c>
      <c r="B46" s="87">
        <v>45</v>
      </c>
      <c r="C46" s="87">
        <v>5</v>
      </c>
      <c r="D46" s="87">
        <v>0</v>
      </c>
      <c r="E46" s="87">
        <v>0</v>
      </c>
      <c r="F46" s="87">
        <v>1</v>
      </c>
      <c r="G46" s="87">
        <v>1</v>
      </c>
      <c r="H46" s="87">
        <v>3</v>
      </c>
      <c r="I46" s="88">
        <f t="shared" si="0"/>
        <v>55</v>
      </c>
      <c r="J46" s="87">
        <v>62</v>
      </c>
      <c r="K46" s="87">
        <v>7</v>
      </c>
      <c r="L46" s="87">
        <v>1</v>
      </c>
      <c r="M46" s="87">
        <v>0</v>
      </c>
      <c r="N46" s="87">
        <v>1</v>
      </c>
      <c r="O46" s="87">
        <v>1</v>
      </c>
      <c r="P46" s="87">
        <v>2</v>
      </c>
      <c r="Q46" s="88">
        <f t="shared" si="1"/>
        <v>74</v>
      </c>
      <c r="R46" s="87">
        <f t="shared" si="9"/>
        <v>107</v>
      </c>
      <c r="S46" s="87">
        <f t="shared" si="2"/>
        <v>12</v>
      </c>
      <c r="T46" s="87">
        <f t="shared" si="3"/>
        <v>1</v>
      </c>
      <c r="U46" s="87">
        <f t="shared" si="4"/>
        <v>0</v>
      </c>
      <c r="V46" s="87">
        <f t="shared" si="5"/>
        <v>2</v>
      </c>
      <c r="W46" s="87">
        <f t="shared" si="6"/>
        <v>2</v>
      </c>
      <c r="X46" s="87">
        <f t="shared" si="7"/>
        <v>5</v>
      </c>
      <c r="Y46" s="88">
        <f t="shared" si="8"/>
        <v>129</v>
      </c>
    </row>
    <row r="47" spans="1:25" s="16" customFormat="1" ht="13.5" customHeight="1" x14ac:dyDescent="0.2">
      <c r="A47" s="60">
        <f>A46+'Internal Control-Check Sheet'!$H$26</f>
        <v>0.68749999999999967</v>
      </c>
      <c r="B47" s="87">
        <v>38</v>
      </c>
      <c r="C47" s="87">
        <v>3</v>
      </c>
      <c r="D47" s="87">
        <v>0</v>
      </c>
      <c r="E47" s="87">
        <v>0</v>
      </c>
      <c r="F47" s="87">
        <v>1</v>
      </c>
      <c r="G47" s="87">
        <v>0</v>
      </c>
      <c r="H47" s="87">
        <v>5</v>
      </c>
      <c r="I47" s="88">
        <f t="shared" si="0"/>
        <v>47</v>
      </c>
      <c r="J47" s="87">
        <v>53</v>
      </c>
      <c r="K47" s="87">
        <v>8</v>
      </c>
      <c r="L47" s="87">
        <v>1</v>
      </c>
      <c r="M47" s="87">
        <v>0</v>
      </c>
      <c r="N47" s="87">
        <v>0</v>
      </c>
      <c r="O47" s="87">
        <v>2</v>
      </c>
      <c r="P47" s="87">
        <v>4</v>
      </c>
      <c r="Q47" s="88">
        <f t="shared" si="1"/>
        <v>68</v>
      </c>
      <c r="R47" s="87">
        <f t="shared" si="9"/>
        <v>91</v>
      </c>
      <c r="S47" s="87">
        <f t="shared" si="2"/>
        <v>11</v>
      </c>
      <c r="T47" s="87">
        <f t="shared" si="3"/>
        <v>1</v>
      </c>
      <c r="U47" s="87">
        <f t="shared" si="4"/>
        <v>0</v>
      </c>
      <c r="V47" s="87">
        <f t="shared" si="5"/>
        <v>1</v>
      </c>
      <c r="W47" s="87">
        <f t="shared" si="6"/>
        <v>2</v>
      </c>
      <c r="X47" s="87">
        <f t="shared" si="7"/>
        <v>9</v>
      </c>
      <c r="Y47" s="88">
        <f t="shared" si="8"/>
        <v>115</v>
      </c>
    </row>
    <row r="48" spans="1:25" s="16" customFormat="1" ht="13.5" customHeight="1" x14ac:dyDescent="0.2">
      <c r="A48" s="60">
        <f>A47+'Internal Control-Check Sheet'!$H$26</f>
        <v>0.6979166666666663</v>
      </c>
      <c r="B48" s="87">
        <v>30</v>
      </c>
      <c r="C48" s="87">
        <v>4</v>
      </c>
      <c r="D48" s="87">
        <v>0</v>
      </c>
      <c r="E48" s="87">
        <v>0</v>
      </c>
      <c r="F48" s="87">
        <v>0</v>
      </c>
      <c r="G48" s="87">
        <v>2</v>
      </c>
      <c r="H48" s="87">
        <v>3</v>
      </c>
      <c r="I48" s="88">
        <f t="shared" si="0"/>
        <v>39</v>
      </c>
      <c r="J48" s="87">
        <v>49</v>
      </c>
      <c r="K48" s="87">
        <v>10</v>
      </c>
      <c r="L48" s="87">
        <v>1</v>
      </c>
      <c r="M48" s="87">
        <v>0</v>
      </c>
      <c r="N48" s="87">
        <v>1</v>
      </c>
      <c r="O48" s="87">
        <v>2</v>
      </c>
      <c r="P48" s="87">
        <v>4</v>
      </c>
      <c r="Q48" s="88">
        <f t="shared" si="1"/>
        <v>67</v>
      </c>
      <c r="R48" s="87">
        <f t="shared" si="9"/>
        <v>79</v>
      </c>
      <c r="S48" s="87">
        <f t="shared" si="2"/>
        <v>14</v>
      </c>
      <c r="T48" s="87">
        <f t="shared" si="3"/>
        <v>1</v>
      </c>
      <c r="U48" s="87">
        <f t="shared" si="4"/>
        <v>0</v>
      </c>
      <c r="V48" s="87">
        <f t="shared" si="5"/>
        <v>1</v>
      </c>
      <c r="W48" s="87">
        <f t="shared" si="6"/>
        <v>4</v>
      </c>
      <c r="X48" s="87">
        <f t="shared" si="7"/>
        <v>7</v>
      </c>
      <c r="Y48" s="88">
        <f t="shared" si="8"/>
        <v>106</v>
      </c>
    </row>
    <row r="49" spans="1:25" s="16" customFormat="1" ht="13.5" customHeight="1" x14ac:dyDescent="0.2">
      <c r="A49" s="56">
        <f>A48+'Internal Control-Check Sheet'!$H$26</f>
        <v>0.70833333333333293</v>
      </c>
      <c r="B49" s="87">
        <v>28</v>
      </c>
      <c r="C49" s="87">
        <v>2</v>
      </c>
      <c r="D49" s="87">
        <v>1</v>
      </c>
      <c r="E49" s="87">
        <v>0</v>
      </c>
      <c r="F49" s="87">
        <v>0</v>
      </c>
      <c r="G49" s="87">
        <v>0</v>
      </c>
      <c r="H49" s="87">
        <v>7</v>
      </c>
      <c r="I49" s="88">
        <f t="shared" si="0"/>
        <v>38</v>
      </c>
      <c r="J49" s="87">
        <v>46</v>
      </c>
      <c r="K49" s="87">
        <v>7</v>
      </c>
      <c r="L49" s="87">
        <v>1</v>
      </c>
      <c r="M49" s="87">
        <v>0</v>
      </c>
      <c r="N49" s="87">
        <v>0</v>
      </c>
      <c r="O49" s="87">
        <v>1</v>
      </c>
      <c r="P49" s="87">
        <v>3</v>
      </c>
      <c r="Q49" s="88">
        <f t="shared" si="1"/>
        <v>58</v>
      </c>
      <c r="R49" s="87">
        <f t="shared" si="9"/>
        <v>74</v>
      </c>
      <c r="S49" s="87">
        <f t="shared" si="2"/>
        <v>9</v>
      </c>
      <c r="T49" s="87">
        <f t="shared" si="3"/>
        <v>2</v>
      </c>
      <c r="U49" s="87">
        <f t="shared" si="4"/>
        <v>0</v>
      </c>
      <c r="V49" s="87">
        <f t="shared" si="5"/>
        <v>0</v>
      </c>
      <c r="W49" s="87">
        <f t="shared" si="6"/>
        <v>1</v>
      </c>
      <c r="X49" s="87">
        <f t="shared" si="7"/>
        <v>10</v>
      </c>
      <c r="Y49" s="88">
        <f t="shared" si="8"/>
        <v>96</v>
      </c>
    </row>
    <row r="50" spans="1:25" s="16" customFormat="1" ht="13.5" customHeight="1" x14ac:dyDescent="0.2">
      <c r="A50" s="59">
        <f>A49+'Internal Control-Check Sheet'!$H$26</f>
        <v>0.71874999999999956</v>
      </c>
      <c r="B50" s="87">
        <v>43</v>
      </c>
      <c r="C50" s="87">
        <v>6</v>
      </c>
      <c r="D50" s="87">
        <v>0</v>
      </c>
      <c r="E50" s="87">
        <v>0</v>
      </c>
      <c r="F50" s="87">
        <v>1</v>
      </c>
      <c r="G50" s="87">
        <v>0</v>
      </c>
      <c r="H50" s="87">
        <v>2</v>
      </c>
      <c r="I50" s="88">
        <f t="shared" si="0"/>
        <v>52</v>
      </c>
      <c r="J50" s="87">
        <v>60</v>
      </c>
      <c r="K50" s="87">
        <v>6</v>
      </c>
      <c r="L50" s="87">
        <v>0</v>
      </c>
      <c r="M50" s="87">
        <v>0</v>
      </c>
      <c r="N50" s="87">
        <v>1</v>
      </c>
      <c r="O50" s="87">
        <v>1</v>
      </c>
      <c r="P50" s="87">
        <v>4</v>
      </c>
      <c r="Q50" s="88">
        <f t="shared" si="1"/>
        <v>72</v>
      </c>
      <c r="R50" s="87">
        <f t="shared" si="9"/>
        <v>103</v>
      </c>
      <c r="S50" s="87">
        <f t="shared" si="2"/>
        <v>12</v>
      </c>
      <c r="T50" s="87">
        <f t="shared" si="3"/>
        <v>0</v>
      </c>
      <c r="U50" s="87">
        <f t="shared" si="4"/>
        <v>0</v>
      </c>
      <c r="V50" s="87">
        <f t="shared" si="5"/>
        <v>2</v>
      </c>
      <c r="W50" s="87">
        <f t="shared" si="6"/>
        <v>1</v>
      </c>
      <c r="X50" s="87">
        <f t="shared" si="7"/>
        <v>6</v>
      </c>
      <c r="Y50" s="88">
        <f t="shared" si="8"/>
        <v>124</v>
      </c>
    </row>
    <row r="51" spans="1:25" s="16" customFormat="1" ht="13.5" customHeight="1" x14ac:dyDescent="0.2">
      <c r="A51" s="60">
        <f>A50+'Internal Control-Check Sheet'!$H$26</f>
        <v>0.72916666666666619</v>
      </c>
      <c r="B51" s="87">
        <v>33</v>
      </c>
      <c r="C51" s="87">
        <v>5</v>
      </c>
      <c r="D51" s="87">
        <v>1</v>
      </c>
      <c r="E51" s="87">
        <v>0</v>
      </c>
      <c r="F51" s="87">
        <v>1</v>
      </c>
      <c r="G51" s="87">
        <v>1</v>
      </c>
      <c r="H51" s="87">
        <v>2</v>
      </c>
      <c r="I51" s="88">
        <f t="shared" si="0"/>
        <v>43</v>
      </c>
      <c r="J51" s="87">
        <v>50</v>
      </c>
      <c r="K51" s="87">
        <v>7</v>
      </c>
      <c r="L51" s="87">
        <v>0</v>
      </c>
      <c r="M51" s="87">
        <v>0</v>
      </c>
      <c r="N51" s="87">
        <v>0</v>
      </c>
      <c r="O51" s="87">
        <v>1</v>
      </c>
      <c r="P51" s="87">
        <v>9</v>
      </c>
      <c r="Q51" s="88">
        <f t="shared" si="1"/>
        <v>67</v>
      </c>
      <c r="R51" s="87">
        <f t="shared" si="9"/>
        <v>83</v>
      </c>
      <c r="S51" s="87">
        <f t="shared" si="2"/>
        <v>12</v>
      </c>
      <c r="T51" s="87">
        <f t="shared" si="3"/>
        <v>1</v>
      </c>
      <c r="U51" s="87">
        <f t="shared" si="4"/>
        <v>0</v>
      </c>
      <c r="V51" s="87">
        <f t="shared" si="5"/>
        <v>1</v>
      </c>
      <c r="W51" s="87">
        <f t="shared" si="6"/>
        <v>2</v>
      </c>
      <c r="X51" s="87">
        <f t="shared" si="7"/>
        <v>11</v>
      </c>
      <c r="Y51" s="88">
        <f t="shared" si="8"/>
        <v>110</v>
      </c>
    </row>
    <row r="52" spans="1:25" s="16" customFormat="1" ht="13.5" customHeight="1" x14ac:dyDescent="0.2">
      <c r="A52" s="59">
        <f>A51+'Internal Control-Check Sheet'!$H$26</f>
        <v>0.73958333333333282</v>
      </c>
      <c r="B52" s="87">
        <v>35</v>
      </c>
      <c r="C52" s="87">
        <v>2</v>
      </c>
      <c r="D52" s="87">
        <v>1</v>
      </c>
      <c r="E52" s="87">
        <v>0</v>
      </c>
      <c r="F52" s="87">
        <v>0</v>
      </c>
      <c r="G52" s="87">
        <v>0</v>
      </c>
      <c r="H52" s="87">
        <v>3</v>
      </c>
      <c r="I52" s="88">
        <f t="shared" si="0"/>
        <v>41</v>
      </c>
      <c r="J52" s="87">
        <v>56</v>
      </c>
      <c r="K52" s="87">
        <v>9</v>
      </c>
      <c r="L52" s="87">
        <v>0</v>
      </c>
      <c r="M52" s="87">
        <v>0</v>
      </c>
      <c r="N52" s="87">
        <v>0</v>
      </c>
      <c r="O52" s="87">
        <v>1</v>
      </c>
      <c r="P52" s="87">
        <v>4</v>
      </c>
      <c r="Q52" s="88">
        <f t="shared" si="1"/>
        <v>70</v>
      </c>
      <c r="R52" s="87">
        <f t="shared" si="9"/>
        <v>91</v>
      </c>
      <c r="S52" s="87">
        <f t="shared" si="2"/>
        <v>11</v>
      </c>
      <c r="T52" s="87">
        <f t="shared" si="3"/>
        <v>1</v>
      </c>
      <c r="U52" s="87">
        <f t="shared" si="4"/>
        <v>0</v>
      </c>
      <c r="V52" s="87">
        <f t="shared" si="5"/>
        <v>0</v>
      </c>
      <c r="W52" s="87">
        <f t="shared" si="6"/>
        <v>1</v>
      </c>
      <c r="X52" s="87">
        <f t="shared" si="7"/>
        <v>7</v>
      </c>
      <c r="Y52" s="88">
        <f t="shared" si="8"/>
        <v>111</v>
      </c>
    </row>
    <row r="53" spans="1:25" s="16" customFormat="1" ht="13.5" customHeight="1" x14ac:dyDescent="0.2">
      <c r="A53" s="60">
        <f>A52+'Internal Control-Check Sheet'!$H$26</f>
        <v>0.74999999999999944</v>
      </c>
      <c r="B53" s="87">
        <v>32</v>
      </c>
      <c r="C53" s="87">
        <v>3</v>
      </c>
      <c r="D53" s="87">
        <v>0</v>
      </c>
      <c r="E53" s="87">
        <v>0</v>
      </c>
      <c r="F53" s="87">
        <v>1</v>
      </c>
      <c r="G53" s="87">
        <v>0</v>
      </c>
      <c r="H53" s="87">
        <v>5</v>
      </c>
      <c r="I53" s="88">
        <f t="shared" si="0"/>
        <v>41</v>
      </c>
      <c r="J53" s="87">
        <v>52</v>
      </c>
      <c r="K53" s="87">
        <v>7</v>
      </c>
      <c r="L53" s="87">
        <v>1</v>
      </c>
      <c r="M53" s="87">
        <v>0</v>
      </c>
      <c r="N53" s="87">
        <v>1</v>
      </c>
      <c r="O53" s="87">
        <v>0</v>
      </c>
      <c r="P53" s="87">
        <v>7</v>
      </c>
      <c r="Q53" s="88">
        <f t="shared" si="1"/>
        <v>68</v>
      </c>
      <c r="R53" s="87">
        <f t="shared" si="9"/>
        <v>84</v>
      </c>
      <c r="S53" s="87">
        <f t="shared" si="2"/>
        <v>10</v>
      </c>
      <c r="T53" s="87">
        <f t="shared" si="3"/>
        <v>1</v>
      </c>
      <c r="U53" s="87">
        <f t="shared" si="4"/>
        <v>0</v>
      </c>
      <c r="V53" s="87">
        <f t="shared" si="5"/>
        <v>2</v>
      </c>
      <c r="W53" s="87">
        <f t="shared" si="6"/>
        <v>0</v>
      </c>
      <c r="X53" s="87">
        <f t="shared" si="7"/>
        <v>12</v>
      </c>
      <c r="Y53" s="88">
        <f t="shared" si="8"/>
        <v>109</v>
      </c>
    </row>
    <row r="54" spans="1:25" s="16" customFormat="1" ht="13.5" customHeight="1" x14ac:dyDescent="0.2">
      <c r="A54" s="60">
        <f>A53+'Internal Control-Check Sheet'!$H$26</f>
        <v>0.76041666666666607</v>
      </c>
      <c r="B54" s="87">
        <v>35</v>
      </c>
      <c r="C54" s="87">
        <v>2</v>
      </c>
      <c r="D54" s="87">
        <v>1</v>
      </c>
      <c r="E54" s="87">
        <v>0</v>
      </c>
      <c r="F54" s="87">
        <v>0</v>
      </c>
      <c r="G54" s="87">
        <v>0</v>
      </c>
      <c r="H54" s="87">
        <v>7</v>
      </c>
      <c r="I54" s="88">
        <f t="shared" si="0"/>
        <v>45</v>
      </c>
      <c r="J54" s="87">
        <v>46</v>
      </c>
      <c r="K54" s="87">
        <v>2</v>
      </c>
      <c r="L54" s="87">
        <v>2</v>
      </c>
      <c r="M54" s="87">
        <v>0</v>
      </c>
      <c r="N54" s="87">
        <v>1</v>
      </c>
      <c r="O54" s="87">
        <v>0</v>
      </c>
      <c r="P54" s="87">
        <v>3</v>
      </c>
      <c r="Q54" s="88">
        <f t="shared" si="1"/>
        <v>54</v>
      </c>
      <c r="R54" s="87">
        <f t="shared" si="9"/>
        <v>81</v>
      </c>
      <c r="S54" s="87">
        <f t="shared" si="2"/>
        <v>4</v>
      </c>
      <c r="T54" s="87">
        <f t="shared" si="3"/>
        <v>3</v>
      </c>
      <c r="U54" s="87">
        <f t="shared" si="4"/>
        <v>0</v>
      </c>
      <c r="V54" s="87">
        <f t="shared" si="5"/>
        <v>1</v>
      </c>
      <c r="W54" s="87">
        <f t="shared" si="6"/>
        <v>0</v>
      </c>
      <c r="X54" s="87">
        <f t="shared" si="7"/>
        <v>10</v>
      </c>
      <c r="Y54" s="88">
        <f t="shared" si="8"/>
        <v>99</v>
      </c>
    </row>
    <row r="55" spans="1:25" s="16" customFormat="1" ht="13.5" customHeight="1" x14ac:dyDescent="0.2">
      <c r="A55" s="60">
        <f>A54+'Internal Control-Check Sheet'!$H$26</f>
        <v>0.7708333333333327</v>
      </c>
      <c r="B55" s="87">
        <v>36</v>
      </c>
      <c r="C55" s="87">
        <v>5</v>
      </c>
      <c r="D55" s="87">
        <v>1</v>
      </c>
      <c r="E55" s="87">
        <v>0</v>
      </c>
      <c r="F55" s="87">
        <v>1</v>
      </c>
      <c r="G55" s="87">
        <v>0</v>
      </c>
      <c r="H55" s="87">
        <v>5</v>
      </c>
      <c r="I55" s="88">
        <f t="shared" si="0"/>
        <v>48</v>
      </c>
      <c r="J55" s="87">
        <v>47</v>
      </c>
      <c r="K55" s="87">
        <v>2</v>
      </c>
      <c r="L55" s="87">
        <v>0</v>
      </c>
      <c r="M55" s="87">
        <v>0</v>
      </c>
      <c r="N55" s="87">
        <v>1</v>
      </c>
      <c r="O55" s="87">
        <v>0</v>
      </c>
      <c r="P55" s="87">
        <v>11</v>
      </c>
      <c r="Q55" s="88">
        <f t="shared" si="1"/>
        <v>61</v>
      </c>
      <c r="R55" s="87">
        <f t="shared" si="9"/>
        <v>83</v>
      </c>
      <c r="S55" s="87">
        <f t="shared" si="2"/>
        <v>7</v>
      </c>
      <c r="T55" s="87">
        <f t="shared" si="3"/>
        <v>1</v>
      </c>
      <c r="U55" s="87">
        <f t="shared" si="4"/>
        <v>0</v>
      </c>
      <c r="V55" s="87">
        <f t="shared" si="5"/>
        <v>2</v>
      </c>
      <c r="W55" s="87">
        <f t="shared" si="6"/>
        <v>0</v>
      </c>
      <c r="X55" s="87">
        <f t="shared" si="7"/>
        <v>16</v>
      </c>
      <c r="Y55" s="88">
        <f t="shared" si="8"/>
        <v>109</v>
      </c>
    </row>
    <row r="56" spans="1:25" s="16" customFormat="1" ht="13.5" customHeight="1" thickBot="1" x14ac:dyDescent="0.25">
      <c r="A56" s="60">
        <f>A55+'Internal Control-Check Sheet'!$H$26</f>
        <v>0.78124999999999933</v>
      </c>
      <c r="B56" s="87">
        <v>26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7</v>
      </c>
      <c r="I56" s="88">
        <f t="shared" si="0"/>
        <v>33</v>
      </c>
      <c r="J56" s="87">
        <v>50</v>
      </c>
      <c r="K56" s="87">
        <v>4</v>
      </c>
      <c r="L56" s="87">
        <v>0</v>
      </c>
      <c r="M56" s="87">
        <v>0</v>
      </c>
      <c r="N56" s="87">
        <v>0</v>
      </c>
      <c r="O56" s="87">
        <v>0</v>
      </c>
      <c r="P56" s="87">
        <v>4</v>
      </c>
      <c r="Q56" s="88">
        <f t="shared" si="1"/>
        <v>58</v>
      </c>
      <c r="R56" s="87">
        <f t="shared" si="9"/>
        <v>76</v>
      </c>
      <c r="S56" s="87">
        <f t="shared" si="2"/>
        <v>4</v>
      </c>
      <c r="T56" s="87">
        <f t="shared" si="3"/>
        <v>0</v>
      </c>
      <c r="U56" s="87">
        <f t="shared" si="4"/>
        <v>0</v>
      </c>
      <c r="V56" s="87">
        <f t="shared" si="5"/>
        <v>0</v>
      </c>
      <c r="W56" s="87">
        <f t="shared" si="6"/>
        <v>0</v>
      </c>
      <c r="X56" s="87">
        <f t="shared" si="7"/>
        <v>11</v>
      </c>
      <c r="Y56" s="88">
        <f t="shared" si="8"/>
        <v>91</v>
      </c>
    </row>
    <row r="57" spans="1:25" ht="13.5" customHeight="1" thickTop="1" thickBot="1" x14ac:dyDescent="0.25">
      <c r="A57" s="116" t="s">
        <v>5</v>
      </c>
      <c r="B57" s="343" t="s">
        <v>6</v>
      </c>
      <c r="C57" s="344"/>
      <c r="D57" s="344"/>
      <c r="E57" s="344"/>
      <c r="F57" s="344"/>
      <c r="G57" s="344"/>
      <c r="H57" s="345"/>
      <c r="I57" s="55" t="s">
        <v>8</v>
      </c>
      <c r="J57" s="343" t="s">
        <v>6</v>
      </c>
      <c r="K57" s="344"/>
      <c r="L57" s="344"/>
      <c r="M57" s="344"/>
      <c r="N57" s="344"/>
      <c r="O57" s="344"/>
      <c r="P57" s="345"/>
      <c r="Q57" s="55" t="s">
        <v>8</v>
      </c>
      <c r="R57" s="343" t="s">
        <v>6</v>
      </c>
      <c r="S57" s="344"/>
      <c r="T57" s="344"/>
      <c r="U57" s="344"/>
      <c r="V57" s="344"/>
      <c r="W57" s="344"/>
      <c r="X57" s="345"/>
      <c r="Y57" s="55" t="s">
        <v>8</v>
      </c>
    </row>
    <row r="58" spans="1:25" s="16" customFormat="1" ht="13.5" customHeight="1" thickTop="1" x14ac:dyDescent="0.2">
      <c r="A58" s="61">
        <f t="shared" ref="A58:A102" si="10">A9</f>
        <v>0.29166666666666669</v>
      </c>
      <c r="B58" s="64">
        <f t="shared" ref="B58:H67" si="11">SUM(B9:B12)</f>
        <v>133</v>
      </c>
      <c r="C58" s="64">
        <f t="shared" si="11"/>
        <v>21</v>
      </c>
      <c r="D58" s="64">
        <f t="shared" si="11"/>
        <v>4</v>
      </c>
      <c r="E58" s="64">
        <f t="shared" si="11"/>
        <v>0</v>
      </c>
      <c r="F58" s="64">
        <f t="shared" si="11"/>
        <v>1</v>
      </c>
      <c r="G58" s="64">
        <f t="shared" si="11"/>
        <v>1</v>
      </c>
      <c r="H58" s="64">
        <f t="shared" si="11"/>
        <v>12</v>
      </c>
      <c r="I58" s="84">
        <f t="shared" ref="I58:I101" si="12">SUM(B58:H58)</f>
        <v>172</v>
      </c>
      <c r="J58" s="64">
        <f t="shared" ref="J58:P67" si="13">SUM(J9:J12)</f>
        <v>46</v>
      </c>
      <c r="K58" s="64">
        <f t="shared" si="13"/>
        <v>9</v>
      </c>
      <c r="L58" s="64">
        <f t="shared" si="13"/>
        <v>1</v>
      </c>
      <c r="M58" s="64">
        <f t="shared" si="13"/>
        <v>0</v>
      </c>
      <c r="N58" s="64">
        <f t="shared" si="13"/>
        <v>1</v>
      </c>
      <c r="O58" s="64">
        <f t="shared" si="13"/>
        <v>0</v>
      </c>
      <c r="P58" s="64">
        <f t="shared" si="13"/>
        <v>5</v>
      </c>
      <c r="Q58" s="65">
        <f>SUM(J58:P58)</f>
        <v>62</v>
      </c>
      <c r="R58" s="64">
        <f t="shared" ref="R58:X67" si="14">SUM(R9:R12)</f>
        <v>179</v>
      </c>
      <c r="S58" s="64">
        <f t="shared" si="14"/>
        <v>30</v>
      </c>
      <c r="T58" s="64">
        <f t="shared" si="14"/>
        <v>5</v>
      </c>
      <c r="U58" s="64">
        <f t="shared" si="14"/>
        <v>0</v>
      </c>
      <c r="V58" s="64">
        <f t="shared" si="14"/>
        <v>2</v>
      </c>
      <c r="W58" s="64">
        <f t="shared" si="14"/>
        <v>1</v>
      </c>
      <c r="X58" s="64">
        <f t="shared" si="14"/>
        <v>17</v>
      </c>
      <c r="Y58" s="65">
        <f>SUM(R58:X58)</f>
        <v>234</v>
      </c>
    </row>
    <row r="59" spans="1:25" s="16" customFormat="1" ht="13.5" customHeight="1" x14ac:dyDescent="0.2">
      <c r="A59" s="59">
        <f t="shared" si="10"/>
        <v>0.30208333333333337</v>
      </c>
      <c r="B59" s="57">
        <f t="shared" si="11"/>
        <v>164</v>
      </c>
      <c r="C59" s="57">
        <f t="shared" si="11"/>
        <v>27</v>
      </c>
      <c r="D59" s="57">
        <f t="shared" si="11"/>
        <v>5</v>
      </c>
      <c r="E59" s="57">
        <f t="shared" si="11"/>
        <v>0</v>
      </c>
      <c r="F59" s="57">
        <f t="shared" si="11"/>
        <v>2</v>
      </c>
      <c r="G59" s="57">
        <f t="shared" si="11"/>
        <v>1</v>
      </c>
      <c r="H59" s="57">
        <f t="shared" si="11"/>
        <v>17</v>
      </c>
      <c r="I59" s="84">
        <f t="shared" si="12"/>
        <v>216</v>
      </c>
      <c r="J59" s="57">
        <f t="shared" si="13"/>
        <v>50</v>
      </c>
      <c r="K59" s="57">
        <f t="shared" si="13"/>
        <v>13</v>
      </c>
      <c r="L59" s="57">
        <f t="shared" si="13"/>
        <v>1</v>
      </c>
      <c r="M59" s="57">
        <f t="shared" si="13"/>
        <v>0</v>
      </c>
      <c r="N59" s="57">
        <f t="shared" si="13"/>
        <v>1</v>
      </c>
      <c r="O59" s="57">
        <f t="shared" si="13"/>
        <v>0</v>
      </c>
      <c r="P59" s="57">
        <f t="shared" si="13"/>
        <v>8</v>
      </c>
      <c r="Q59" s="58">
        <f t="shared" ref="Q59:Q101" si="15">SUM(J59:P59)</f>
        <v>73</v>
      </c>
      <c r="R59" s="57">
        <f t="shared" si="14"/>
        <v>214</v>
      </c>
      <c r="S59" s="57">
        <f t="shared" si="14"/>
        <v>40</v>
      </c>
      <c r="T59" s="57">
        <f t="shared" si="14"/>
        <v>6</v>
      </c>
      <c r="U59" s="57">
        <f t="shared" si="14"/>
        <v>0</v>
      </c>
      <c r="V59" s="57">
        <f t="shared" si="14"/>
        <v>3</v>
      </c>
      <c r="W59" s="57">
        <f t="shared" si="14"/>
        <v>1</v>
      </c>
      <c r="X59" s="57">
        <f t="shared" si="14"/>
        <v>25</v>
      </c>
      <c r="Y59" s="58">
        <f t="shared" ref="Y59:Y102" si="16">SUM(R59:X59)</f>
        <v>289</v>
      </c>
    </row>
    <row r="60" spans="1:25" ht="13.5" customHeight="1" x14ac:dyDescent="0.2">
      <c r="A60" s="60">
        <f t="shared" si="10"/>
        <v>0.31250000000000006</v>
      </c>
      <c r="B60" s="57">
        <f t="shared" si="11"/>
        <v>182</v>
      </c>
      <c r="C60" s="57">
        <f t="shared" si="11"/>
        <v>27</v>
      </c>
      <c r="D60" s="57">
        <f t="shared" si="11"/>
        <v>4</v>
      </c>
      <c r="E60" s="57">
        <f t="shared" si="11"/>
        <v>0</v>
      </c>
      <c r="F60" s="57">
        <f t="shared" si="11"/>
        <v>1</v>
      </c>
      <c r="G60" s="57">
        <f t="shared" si="11"/>
        <v>1</v>
      </c>
      <c r="H60" s="57">
        <f t="shared" si="11"/>
        <v>20</v>
      </c>
      <c r="I60" s="84">
        <f t="shared" si="12"/>
        <v>235</v>
      </c>
      <c r="J60" s="57">
        <f t="shared" si="13"/>
        <v>59</v>
      </c>
      <c r="K60" s="57">
        <f t="shared" si="13"/>
        <v>19</v>
      </c>
      <c r="L60" s="57">
        <f t="shared" si="13"/>
        <v>2</v>
      </c>
      <c r="M60" s="57">
        <f t="shared" si="13"/>
        <v>0</v>
      </c>
      <c r="N60" s="57">
        <f t="shared" si="13"/>
        <v>2</v>
      </c>
      <c r="O60" s="57">
        <f t="shared" si="13"/>
        <v>0</v>
      </c>
      <c r="P60" s="57">
        <f t="shared" si="13"/>
        <v>9</v>
      </c>
      <c r="Q60" s="58">
        <f t="shared" si="15"/>
        <v>91</v>
      </c>
      <c r="R60" s="57">
        <f t="shared" si="14"/>
        <v>241</v>
      </c>
      <c r="S60" s="57">
        <f t="shared" si="14"/>
        <v>46</v>
      </c>
      <c r="T60" s="57">
        <f t="shared" si="14"/>
        <v>6</v>
      </c>
      <c r="U60" s="57">
        <f t="shared" si="14"/>
        <v>0</v>
      </c>
      <c r="V60" s="57">
        <f t="shared" si="14"/>
        <v>3</v>
      </c>
      <c r="W60" s="57">
        <f t="shared" si="14"/>
        <v>1</v>
      </c>
      <c r="X60" s="57">
        <f t="shared" si="14"/>
        <v>29</v>
      </c>
      <c r="Y60" s="58">
        <f t="shared" si="16"/>
        <v>326</v>
      </c>
    </row>
    <row r="61" spans="1:25" ht="13.5" customHeight="1" x14ac:dyDescent="0.2">
      <c r="A61" s="59">
        <f t="shared" si="10"/>
        <v>0.32291666666666674</v>
      </c>
      <c r="B61" s="57">
        <f t="shared" si="11"/>
        <v>180</v>
      </c>
      <c r="C61" s="57">
        <f t="shared" si="11"/>
        <v>30</v>
      </c>
      <c r="D61" s="57">
        <f t="shared" si="11"/>
        <v>5</v>
      </c>
      <c r="E61" s="57">
        <f t="shared" si="11"/>
        <v>0</v>
      </c>
      <c r="F61" s="57">
        <f t="shared" si="11"/>
        <v>2</v>
      </c>
      <c r="G61" s="57">
        <f t="shared" si="11"/>
        <v>1</v>
      </c>
      <c r="H61" s="57">
        <f t="shared" si="11"/>
        <v>30</v>
      </c>
      <c r="I61" s="84">
        <f t="shared" si="12"/>
        <v>248</v>
      </c>
      <c r="J61" s="57">
        <f t="shared" si="13"/>
        <v>65</v>
      </c>
      <c r="K61" s="57">
        <f t="shared" si="13"/>
        <v>24</v>
      </c>
      <c r="L61" s="57">
        <f t="shared" si="13"/>
        <v>1</v>
      </c>
      <c r="M61" s="57">
        <f t="shared" si="13"/>
        <v>0</v>
      </c>
      <c r="N61" s="57">
        <f t="shared" si="13"/>
        <v>2</v>
      </c>
      <c r="O61" s="57">
        <f t="shared" si="13"/>
        <v>0</v>
      </c>
      <c r="P61" s="57">
        <f t="shared" si="13"/>
        <v>11</v>
      </c>
      <c r="Q61" s="58">
        <f t="shared" si="15"/>
        <v>103</v>
      </c>
      <c r="R61" s="57">
        <f t="shared" si="14"/>
        <v>245</v>
      </c>
      <c r="S61" s="57">
        <f t="shared" si="14"/>
        <v>54</v>
      </c>
      <c r="T61" s="57">
        <f t="shared" si="14"/>
        <v>6</v>
      </c>
      <c r="U61" s="57">
        <f t="shared" si="14"/>
        <v>0</v>
      </c>
      <c r="V61" s="57">
        <f t="shared" si="14"/>
        <v>4</v>
      </c>
      <c r="W61" s="57">
        <f t="shared" si="14"/>
        <v>1</v>
      </c>
      <c r="X61" s="57">
        <f t="shared" si="14"/>
        <v>41</v>
      </c>
      <c r="Y61" s="58">
        <f t="shared" si="16"/>
        <v>351</v>
      </c>
    </row>
    <row r="62" spans="1:25" ht="13.5" customHeight="1" x14ac:dyDescent="0.2">
      <c r="A62" s="59">
        <f t="shared" si="10"/>
        <v>0.33333333333333343</v>
      </c>
      <c r="B62" s="57">
        <f t="shared" si="11"/>
        <v>173</v>
      </c>
      <c r="C62" s="57">
        <f t="shared" si="11"/>
        <v>34</v>
      </c>
      <c r="D62" s="57">
        <f t="shared" si="11"/>
        <v>4</v>
      </c>
      <c r="E62" s="57">
        <f t="shared" si="11"/>
        <v>0</v>
      </c>
      <c r="F62" s="57">
        <f t="shared" si="11"/>
        <v>2</v>
      </c>
      <c r="G62" s="57">
        <f t="shared" si="11"/>
        <v>0</v>
      </c>
      <c r="H62" s="57">
        <f t="shared" si="11"/>
        <v>33</v>
      </c>
      <c r="I62" s="84">
        <f t="shared" si="12"/>
        <v>246</v>
      </c>
      <c r="J62" s="57">
        <f t="shared" si="13"/>
        <v>79</v>
      </c>
      <c r="K62" s="57">
        <f t="shared" si="13"/>
        <v>22</v>
      </c>
      <c r="L62" s="57">
        <f t="shared" si="13"/>
        <v>2</v>
      </c>
      <c r="M62" s="57">
        <f t="shared" si="13"/>
        <v>0</v>
      </c>
      <c r="N62" s="57">
        <f t="shared" si="13"/>
        <v>2</v>
      </c>
      <c r="O62" s="57">
        <f t="shared" si="13"/>
        <v>0</v>
      </c>
      <c r="P62" s="57">
        <f t="shared" si="13"/>
        <v>11</v>
      </c>
      <c r="Q62" s="58">
        <f t="shared" si="15"/>
        <v>116</v>
      </c>
      <c r="R62" s="57">
        <f t="shared" si="14"/>
        <v>252</v>
      </c>
      <c r="S62" s="57">
        <f t="shared" si="14"/>
        <v>56</v>
      </c>
      <c r="T62" s="57">
        <f t="shared" si="14"/>
        <v>6</v>
      </c>
      <c r="U62" s="57">
        <f t="shared" si="14"/>
        <v>0</v>
      </c>
      <c r="V62" s="57">
        <f t="shared" si="14"/>
        <v>4</v>
      </c>
      <c r="W62" s="57">
        <f t="shared" si="14"/>
        <v>0</v>
      </c>
      <c r="X62" s="57">
        <f t="shared" si="14"/>
        <v>44</v>
      </c>
      <c r="Y62" s="58">
        <f t="shared" si="16"/>
        <v>362</v>
      </c>
    </row>
    <row r="63" spans="1:25" ht="13.5" customHeight="1" x14ac:dyDescent="0.2">
      <c r="A63" s="60">
        <f t="shared" si="10"/>
        <v>0.34375000000000011</v>
      </c>
      <c r="B63" s="57">
        <f t="shared" si="11"/>
        <v>162</v>
      </c>
      <c r="C63" s="57">
        <f t="shared" si="11"/>
        <v>35</v>
      </c>
      <c r="D63" s="57">
        <f t="shared" si="11"/>
        <v>2</v>
      </c>
      <c r="E63" s="57">
        <f t="shared" si="11"/>
        <v>0</v>
      </c>
      <c r="F63" s="57">
        <f t="shared" si="11"/>
        <v>1</v>
      </c>
      <c r="G63" s="57">
        <f t="shared" si="11"/>
        <v>0</v>
      </c>
      <c r="H63" s="57">
        <f t="shared" si="11"/>
        <v>32</v>
      </c>
      <c r="I63" s="84">
        <f t="shared" si="12"/>
        <v>232</v>
      </c>
      <c r="J63" s="57">
        <f t="shared" si="13"/>
        <v>96</v>
      </c>
      <c r="K63" s="57">
        <f t="shared" si="13"/>
        <v>24</v>
      </c>
      <c r="L63" s="57">
        <f t="shared" si="13"/>
        <v>4</v>
      </c>
      <c r="M63" s="57">
        <f t="shared" si="13"/>
        <v>0</v>
      </c>
      <c r="N63" s="57">
        <f t="shared" si="13"/>
        <v>4</v>
      </c>
      <c r="O63" s="57">
        <f t="shared" si="13"/>
        <v>0</v>
      </c>
      <c r="P63" s="57">
        <f t="shared" si="13"/>
        <v>9</v>
      </c>
      <c r="Q63" s="58">
        <f t="shared" si="15"/>
        <v>137</v>
      </c>
      <c r="R63" s="57">
        <f t="shared" si="14"/>
        <v>258</v>
      </c>
      <c r="S63" s="57">
        <f t="shared" si="14"/>
        <v>59</v>
      </c>
      <c r="T63" s="57">
        <f t="shared" si="14"/>
        <v>6</v>
      </c>
      <c r="U63" s="57">
        <f t="shared" si="14"/>
        <v>0</v>
      </c>
      <c r="V63" s="57">
        <f t="shared" si="14"/>
        <v>5</v>
      </c>
      <c r="W63" s="57">
        <f t="shared" si="14"/>
        <v>0</v>
      </c>
      <c r="X63" s="57">
        <f t="shared" si="14"/>
        <v>41</v>
      </c>
      <c r="Y63" s="58">
        <f t="shared" si="16"/>
        <v>369</v>
      </c>
    </row>
    <row r="64" spans="1:25" ht="13.5" customHeight="1" x14ac:dyDescent="0.2">
      <c r="A64" s="59">
        <f t="shared" si="10"/>
        <v>0.3541666666666668</v>
      </c>
      <c r="B64" s="57">
        <f t="shared" si="11"/>
        <v>146</v>
      </c>
      <c r="C64" s="57">
        <f t="shared" si="11"/>
        <v>32</v>
      </c>
      <c r="D64" s="57">
        <f t="shared" si="11"/>
        <v>2</v>
      </c>
      <c r="E64" s="57">
        <f t="shared" si="11"/>
        <v>0</v>
      </c>
      <c r="F64" s="57">
        <f t="shared" si="11"/>
        <v>2</v>
      </c>
      <c r="G64" s="57">
        <f t="shared" si="11"/>
        <v>1</v>
      </c>
      <c r="H64" s="57">
        <f t="shared" si="11"/>
        <v>28</v>
      </c>
      <c r="I64" s="84">
        <f t="shared" si="12"/>
        <v>211</v>
      </c>
      <c r="J64" s="57">
        <f t="shared" si="13"/>
        <v>94</v>
      </c>
      <c r="K64" s="57">
        <f t="shared" si="13"/>
        <v>22</v>
      </c>
      <c r="L64" s="57">
        <f t="shared" si="13"/>
        <v>4</v>
      </c>
      <c r="M64" s="57">
        <f t="shared" si="13"/>
        <v>0</v>
      </c>
      <c r="N64" s="57">
        <f t="shared" si="13"/>
        <v>4</v>
      </c>
      <c r="O64" s="57">
        <f t="shared" si="13"/>
        <v>0</v>
      </c>
      <c r="P64" s="57">
        <f t="shared" si="13"/>
        <v>10</v>
      </c>
      <c r="Q64" s="58">
        <f t="shared" si="15"/>
        <v>134</v>
      </c>
      <c r="R64" s="57">
        <f t="shared" si="14"/>
        <v>240</v>
      </c>
      <c r="S64" s="57">
        <f t="shared" si="14"/>
        <v>54</v>
      </c>
      <c r="T64" s="57">
        <f t="shared" si="14"/>
        <v>6</v>
      </c>
      <c r="U64" s="57">
        <f t="shared" si="14"/>
        <v>0</v>
      </c>
      <c r="V64" s="57">
        <f t="shared" si="14"/>
        <v>6</v>
      </c>
      <c r="W64" s="57">
        <f t="shared" si="14"/>
        <v>1</v>
      </c>
      <c r="X64" s="57">
        <f t="shared" si="14"/>
        <v>38</v>
      </c>
      <c r="Y64" s="58">
        <f t="shared" si="16"/>
        <v>345</v>
      </c>
    </row>
    <row r="65" spans="1:25" ht="13.5" customHeight="1" x14ac:dyDescent="0.2">
      <c r="A65" s="59">
        <f t="shared" si="10"/>
        <v>0.36458333333333348</v>
      </c>
      <c r="B65" s="57">
        <f t="shared" si="11"/>
        <v>145</v>
      </c>
      <c r="C65" s="57">
        <f t="shared" si="11"/>
        <v>31</v>
      </c>
      <c r="D65" s="57">
        <f t="shared" si="11"/>
        <v>2</v>
      </c>
      <c r="E65" s="57">
        <f t="shared" si="11"/>
        <v>0</v>
      </c>
      <c r="F65" s="57">
        <f t="shared" si="11"/>
        <v>1</v>
      </c>
      <c r="G65" s="57">
        <f t="shared" si="11"/>
        <v>2</v>
      </c>
      <c r="H65" s="57">
        <f t="shared" si="11"/>
        <v>20</v>
      </c>
      <c r="I65" s="84">
        <f t="shared" si="12"/>
        <v>201</v>
      </c>
      <c r="J65" s="57">
        <f t="shared" si="13"/>
        <v>89</v>
      </c>
      <c r="K65" s="57">
        <f t="shared" si="13"/>
        <v>20</v>
      </c>
      <c r="L65" s="57">
        <f t="shared" si="13"/>
        <v>4</v>
      </c>
      <c r="M65" s="57">
        <f t="shared" si="13"/>
        <v>0</v>
      </c>
      <c r="N65" s="57">
        <f t="shared" si="13"/>
        <v>4</v>
      </c>
      <c r="O65" s="57">
        <f t="shared" si="13"/>
        <v>1</v>
      </c>
      <c r="P65" s="57">
        <f t="shared" si="13"/>
        <v>7</v>
      </c>
      <c r="Q65" s="58">
        <f t="shared" si="15"/>
        <v>125</v>
      </c>
      <c r="R65" s="57">
        <f t="shared" si="14"/>
        <v>234</v>
      </c>
      <c r="S65" s="57">
        <f t="shared" si="14"/>
        <v>51</v>
      </c>
      <c r="T65" s="57">
        <f t="shared" si="14"/>
        <v>6</v>
      </c>
      <c r="U65" s="57">
        <f t="shared" si="14"/>
        <v>0</v>
      </c>
      <c r="V65" s="57">
        <f t="shared" si="14"/>
        <v>5</v>
      </c>
      <c r="W65" s="57">
        <f t="shared" si="14"/>
        <v>3</v>
      </c>
      <c r="X65" s="57">
        <f t="shared" si="14"/>
        <v>27</v>
      </c>
      <c r="Y65" s="58">
        <f t="shared" si="16"/>
        <v>326</v>
      </c>
    </row>
    <row r="66" spans="1:25" ht="13.5" customHeight="1" x14ac:dyDescent="0.2">
      <c r="A66" s="60">
        <f t="shared" si="10"/>
        <v>0.37500000000000017</v>
      </c>
      <c r="B66" s="57">
        <f t="shared" si="11"/>
        <v>149</v>
      </c>
      <c r="C66" s="57">
        <f t="shared" si="11"/>
        <v>26</v>
      </c>
      <c r="D66" s="57">
        <f t="shared" si="11"/>
        <v>4</v>
      </c>
      <c r="E66" s="57">
        <f t="shared" si="11"/>
        <v>0</v>
      </c>
      <c r="F66" s="57">
        <f t="shared" si="11"/>
        <v>1</v>
      </c>
      <c r="G66" s="57">
        <f t="shared" si="11"/>
        <v>2</v>
      </c>
      <c r="H66" s="57">
        <f t="shared" si="11"/>
        <v>14</v>
      </c>
      <c r="I66" s="84">
        <f t="shared" si="12"/>
        <v>196</v>
      </c>
      <c r="J66" s="57">
        <f t="shared" si="13"/>
        <v>92</v>
      </c>
      <c r="K66" s="57">
        <f t="shared" si="13"/>
        <v>23</v>
      </c>
      <c r="L66" s="57">
        <f t="shared" si="13"/>
        <v>3</v>
      </c>
      <c r="M66" s="57">
        <f t="shared" si="13"/>
        <v>0</v>
      </c>
      <c r="N66" s="57">
        <f t="shared" si="13"/>
        <v>3</v>
      </c>
      <c r="O66" s="57">
        <f t="shared" si="13"/>
        <v>1</v>
      </c>
      <c r="P66" s="57">
        <f t="shared" si="13"/>
        <v>7</v>
      </c>
      <c r="Q66" s="58">
        <f t="shared" si="15"/>
        <v>129</v>
      </c>
      <c r="R66" s="57">
        <f t="shared" si="14"/>
        <v>241</v>
      </c>
      <c r="S66" s="57">
        <f t="shared" si="14"/>
        <v>49</v>
      </c>
      <c r="T66" s="57">
        <f t="shared" si="14"/>
        <v>7</v>
      </c>
      <c r="U66" s="57">
        <f t="shared" si="14"/>
        <v>0</v>
      </c>
      <c r="V66" s="57">
        <f t="shared" si="14"/>
        <v>4</v>
      </c>
      <c r="W66" s="57">
        <f t="shared" si="14"/>
        <v>3</v>
      </c>
      <c r="X66" s="57">
        <f t="shared" si="14"/>
        <v>21</v>
      </c>
      <c r="Y66" s="58">
        <f t="shared" si="16"/>
        <v>325</v>
      </c>
    </row>
    <row r="67" spans="1:25" ht="13.5" customHeight="1" x14ac:dyDescent="0.2">
      <c r="A67" s="59">
        <f t="shared" si="10"/>
        <v>0.38541666666666685</v>
      </c>
      <c r="B67" s="57">
        <f t="shared" si="11"/>
        <v>137</v>
      </c>
      <c r="C67" s="57">
        <f t="shared" si="11"/>
        <v>21</v>
      </c>
      <c r="D67" s="57">
        <f t="shared" si="11"/>
        <v>5</v>
      </c>
      <c r="E67" s="57">
        <f t="shared" si="11"/>
        <v>0</v>
      </c>
      <c r="F67" s="57">
        <f t="shared" si="11"/>
        <v>2</v>
      </c>
      <c r="G67" s="57">
        <f t="shared" si="11"/>
        <v>2</v>
      </c>
      <c r="H67" s="57">
        <f t="shared" si="11"/>
        <v>10</v>
      </c>
      <c r="I67" s="84">
        <f t="shared" si="12"/>
        <v>177</v>
      </c>
      <c r="J67" s="57">
        <f t="shared" si="13"/>
        <v>87</v>
      </c>
      <c r="K67" s="57">
        <f t="shared" si="13"/>
        <v>24</v>
      </c>
      <c r="L67" s="57">
        <f t="shared" si="13"/>
        <v>1</v>
      </c>
      <c r="M67" s="57">
        <f t="shared" si="13"/>
        <v>0</v>
      </c>
      <c r="N67" s="57">
        <f t="shared" si="13"/>
        <v>3</v>
      </c>
      <c r="O67" s="57">
        <f t="shared" si="13"/>
        <v>1</v>
      </c>
      <c r="P67" s="57">
        <f t="shared" si="13"/>
        <v>6</v>
      </c>
      <c r="Q67" s="58">
        <f t="shared" si="15"/>
        <v>122</v>
      </c>
      <c r="R67" s="57">
        <f t="shared" si="14"/>
        <v>224</v>
      </c>
      <c r="S67" s="57">
        <f t="shared" si="14"/>
        <v>45</v>
      </c>
      <c r="T67" s="57">
        <f t="shared" si="14"/>
        <v>6</v>
      </c>
      <c r="U67" s="57">
        <f t="shared" si="14"/>
        <v>0</v>
      </c>
      <c r="V67" s="57">
        <f t="shared" si="14"/>
        <v>5</v>
      </c>
      <c r="W67" s="57">
        <f t="shared" si="14"/>
        <v>3</v>
      </c>
      <c r="X67" s="57">
        <f t="shared" si="14"/>
        <v>16</v>
      </c>
      <c r="Y67" s="58">
        <f t="shared" si="16"/>
        <v>299</v>
      </c>
    </row>
    <row r="68" spans="1:25" ht="13.5" customHeight="1" x14ac:dyDescent="0.2">
      <c r="A68" s="59">
        <f t="shared" si="10"/>
        <v>0.39583333333333354</v>
      </c>
      <c r="B68" s="57">
        <f t="shared" ref="B68:H77" si="17">SUM(B19:B22)</f>
        <v>126</v>
      </c>
      <c r="C68" s="57">
        <f t="shared" si="17"/>
        <v>20</v>
      </c>
      <c r="D68" s="57">
        <f t="shared" si="17"/>
        <v>5</v>
      </c>
      <c r="E68" s="57">
        <f t="shared" si="17"/>
        <v>0</v>
      </c>
      <c r="F68" s="57">
        <f t="shared" si="17"/>
        <v>2</v>
      </c>
      <c r="G68" s="57">
        <f t="shared" si="17"/>
        <v>1</v>
      </c>
      <c r="H68" s="57">
        <f t="shared" si="17"/>
        <v>14</v>
      </c>
      <c r="I68" s="84">
        <f t="shared" si="12"/>
        <v>168</v>
      </c>
      <c r="J68" s="57">
        <f t="shared" ref="J68:P77" si="18">SUM(J19:J22)</f>
        <v>99</v>
      </c>
      <c r="K68" s="57">
        <f t="shared" si="18"/>
        <v>23</v>
      </c>
      <c r="L68" s="57">
        <f t="shared" si="18"/>
        <v>0</v>
      </c>
      <c r="M68" s="57">
        <f t="shared" si="18"/>
        <v>0</v>
      </c>
      <c r="N68" s="57">
        <f t="shared" si="18"/>
        <v>2</v>
      </c>
      <c r="O68" s="57">
        <f t="shared" si="18"/>
        <v>2</v>
      </c>
      <c r="P68" s="57">
        <f t="shared" si="18"/>
        <v>5</v>
      </c>
      <c r="Q68" s="58">
        <f t="shared" si="15"/>
        <v>131</v>
      </c>
      <c r="R68" s="57">
        <f t="shared" ref="R68:X77" si="19">SUM(R19:R22)</f>
        <v>225</v>
      </c>
      <c r="S68" s="57">
        <f t="shared" si="19"/>
        <v>43</v>
      </c>
      <c r="T68" s="57">
        <f t="shared" si="19"/>
        <v>5</v>
      </c>
      <c r="U68" s="57">
        <f t="shared" si="19"/>
        <v>0</v>
      </c>
      <c r="V68" s="57">
        <f t="shared" si="19"/>
        <v>4</v>
      </c>
      <c r="W68" s="57">
        <f t="shared" si="19"/>
        <v>3</v>
      </c>
      <c r="X68" s="57">
        <f t="shared" si="19"/>
        <v>19</v>
      </c>
      <c r="Y68" s="58">
        <f t="shared" si="16"/>
        <v>299</v>
      </c>
    </row>
    <row r="69" spans="1:25" ht="13.5" customHeight="1" x14ac:dyDescent="0.2">
      <c r="A69" s="60">
        <f t="shared" si="10"/>
        <v>0.40625000000000022</v>
      </c>
      <c r="B69" s="57">
        <f t="shared" si="17"/>
        <v>122</v>
      </c>
      <c r="C69" s="57">
        <f t="shared" si="17"/>
        <v>22</v>
      </c>
      <c r="D69" s="57">
        <f t="shared" si="17"/>
        <v>4</v>
      </c>
      <c r="E69" s="57">
        <f t="shared" si="17"/>
        <v>0</v>
      </c>
      <c r="F69" s="57">
        <f t="shared" si="17"/>
        <v>2</v>
      </c>
      <c r="G69" s="57">
        <f t="shared" si="17"/>
        <v>1</v>
      </c>
      <c r="H69" s="57">
        <f t="shared" si="17"/>
        <v>17</v>
      </c>
      <c r="I69" s="84">
        <f t="shared" si="12"/>
        <v>168</v>
      </c>
      <c r="J69" s="57">
        <f t="shared" si="18"/>
        <v>98</v>
      </c>
      <c r="K69" s="57">
        <f t="shared" si="18"/>
        <v>25</v>
      </c>
      <c r="L69" s="57">
        <f t="shared" si="18"/>
        <v>1</v>
      </c>
      <c r="M69" s="57">
        <f t="shared" si="18"/>
        <v>0</v>
      </c>
      <c r="N69" s="57">
        <f t="shared" si="18"/>
        <v>3</v>
      </c>
      <c r="O69" s="57">
        <f t="shared" si="18"/>
        <v>1</v>
      </c>
      <c r="P69" s="57">
        <f t="shared" si="18"/>
        <v>6</v>
      </c>
      <c r="Q69" s="58">
        <f t="shared" si="15"/>
        <v>134</v>
      </c>
      <c r="R69" s="57">
        <f t="shared" si="19"/>
        <v>220</v>
      </c>
      <c r="S69" s="57">
        <f t="shared" si="19"/>
        <v>47</v>
      </c>
      <c r="T69" s="57">
        <f t="shared" si="19"/>
        <v>5</v>
      </c>
      <c r="U69" s="57">
        <f t="shared" si="19"/>
        <v>0</v>
      </c>
      <c r="V69" s="57">
        <f t="shared" si="19"/>
        <v>5</v>
      </c>
      <c r="W69" s="57">
        <f t="shared" si="19"/>
        <v>2</v>
      </c>
      <c r="X69" s="57">
        <f t="shared" si="19"/>
        <v>23</v>
      </c>
      <c r="Y69" s="58">
        <f t="shared" si="16"/>
        <v>302</v>
      </c>
    </row>
    <row r="70" spans="1:25" ht="13.5" customHeight="1" x14ac:dyDescent="0.2">
      <c r="A70" s="59">
        <f t="shared" si="10"/>
        <v>0.41666666666666691</v>
      </c>
      <c r="B70" s="57">
        <f t="shared" si="17"/>
        <v>113</v>
      </c>
      <c r="C70" s="57">
        <f t="shared" si="17"/>
        <v>23</v>
      </c>
      <c r="D70" s="57">
        <f t="shared" si="17"/>
        <v>3</v>
      </c>
      <c r="E70" s="57">
        <f t="shared" si="17"/>
        <v>0</v>
      </c>
      <c r="F70" s="57">
        <f t="shared" si="17"/>
        <v>3</v>
      </c>
      <c r="G70" s="57">
        <f t="shared" si="17"/>
        <v>1</v>
      </c>
      <c r="H70" s="57">
        <f t="shared" si="17"/>
        <v>18</v>
      </c>
      <c r="I70" s="84">
        <f t="shared" si="12"/>
        <v>161</v>
      </c>
      <c r="J70" s="57">
        <f t="shared" si="18"/>
        <v>101</v>
      </c>
      <c r="K70" s="57">
        <f t="shared" si="18"/>
        <v>22</v>
      </c>
      <c r="L70" s="57">
        <f t="shared" si="18"/>
        <v>2</v>
      </c>
      <c r="M70" s="57">
        <f t="shared" si="18"/>
        <v>0</v>
      </c>
      <c r="N70" s="57">
        <f t="shared" si="18"/>
        <v>3</v>
      </c>
      <c r="O70" s="57">
        <f t="shared" si="18"/>
        <v>1</v>
      </c>
      <c r="P70" s="57">
        <f t="shared" si="18"/>
        <v>8</v>
      </c>
      <c r="Q70" s="58">
        <f t="shared" si="15"/>
        <v>137</v>
      </c>
      <c r="R70" s="57">
        <f t="shared" si="19"/>
        <v>214</v>
      </c>
      <c r="S70" s="57">
        <f t="shared" si="19"/>
        <v>45</v>
      </c>
      <c r="T70" s="57">
        <f t="shared" si="19"/>
        <v>5</v>
      </c>
      <c r="U70" s="57">
        <f t="shared" si="19"/>
        <v>0</v>
      </c>
      <c r="V70" s="57">
        <f t="shared" si="19"/>
        <v>6</v>
      </c>
      <c r="W70" s="57">
        <f t="shared" si="19"/>
        <v>2</v>
      </c>
      <c r="X70" s="57">
        <f t="shared" si="19"/>
        <v>26</v>
      </c>
      <c r="Y70" s="58">
        <f t="shared" si="16"/>
        <v>298</v>
      </c>
    </row>
    <row r="71" spans="1:25" ht="13.5" customHeight="1" x14ac:dyDescent="0.2">
      <c r="A71" s="59">
        <f t="shared" si="10"/>
        <v>0.42708333333333359</v>
      </c>
      <c r="B71" s="57">
        <f t="shared" si="17"/>
        <v>115</v>
      </c>
      <c r="C71" s="57">
        <f t="shared" si="17"/>
        <v>27</v>
      </c>
      <c r="D71" s="57">
        <f t="shared" si="17"/>
        <v>1</v>
      </c>
      <c r="E71" s="57">
        <f t="shared" si="17"/>
        <v>0</v>
      </c>
      <c r="F71" s="57">
        <f t="shared" si="17"/>
        <v>3</v>
      </c>
      <c r="G71" s="57">
        <f t="shared" si="17"/>
        <v>1</v>
      </c>
      <c r="H71" s="57">
        <f t="shared" si="17"/>
        <v>19</v>
      </c>
      <c r="I71" s="84">
        <f t="shared" si="12"/>
        <v>166</v>
      </c>
      <c r="J71" s="57">
        <f t="shared" si="18"/>
        <v>97</v>
      </c>
      <c r="K71" s="57">
        <f t="shared" si="18"/>
        <v>18</v>
      </c>
      <c r="L71" s="57">
        <f t="shared" si="18"/>
        <v>2</v>
      </c>
      <c r="M71" s="57">
        <f t="shared" si="18"/>
        <v>0</v>
      </c>
      <c r="N71" s="57">
        <f t="shared" si="18"/>
        <v>2</v>
      </c>
      <c r="O71" s="57">
        <f t="shared" si="18"/>
        <v>1</v>
      </c>
      <c r="P71" s="57">
        <f t="shared" si="18"/>
        <v>7</v>
      </c>
      <c r="Q71" s="58">
        <f t="shared" si="15"/>
        <v>127</v>
      </c>
      <c r="R71" s="57">
        <f t="shared" si="19"/>
        <v>212</v>
      </c>
      <c r="S71" s="57">
        <f t="shared" si="19"/>
        <v>45</v>
      </c>
      <c r="T71" s="57">
        <f t="shared" si="19"/>
        <v>3</v>
      </c>
      <c r="U71" s="57">
        <f t="shared" si="19"/>
        <v>0</v>
      </c>
      <c r="V71" s="57">
        <f t="shared" si="19"/>
        <v>5</v>
      </c>
      <c r="W71" s="57">
        <f t="shared" si="19"/>
        <v>2</v>
      </c>
      <c r="X71" s="57">
        <f t="shared" si="19"/>
        <v>26</v>
      </c>
      <c r="Y71" s="58">
        <f t="shared" si="16"/>
        <v>293</v>
      </c>
    </row>
    <row r="72" spans="1:25" ht="13.5" customHeight="1" x14ac:dyDescent="0.2">
      <c r="A72" s="60">
        <f t="shared" si="10"/>
        <v>0.43750000000000028</v>
      </c>
      <c r="B72" s="57">
        <f t="shared" si="17"/>
        <v>108</v>
      </c>
      <c r="C72" s="57">
        <f t="shared" si="17"/>
        <v>29</v>
      </c>
      <c r="D72" s="57">
        <f t="shared" si="17"/>
        <v>2</v>
      </c>
      <c r="E72" s="57">
        <f t="shared" si="17"/>
        <v>0</v>
      </c>
      <c r="F72" s="57">
        <f t="shared" si="17"/>
        <v>3</v>
      </c>
      <c r="G72" s="57">
        <f t="shared" si="17"/>
        <v>1</v>
      </c>
      <c r="H72" s="57">
        <f t="shared" si="17"/>
        <v>16</v>
      </c>
      <c r="I72" s="84">
        <f t="shared" si="12"/>
        <v>159</v>
      </c>
      <c r="J72" s="57">
        <f t="shared" si="18"/>
        <v>101</v>
      </c>
      <c r="K72" s="57">
        <f t="shared" si="18"/>
        <v>18</v>
      </c>
      <c r="L72" s="57">
        <f t="shared" si="18"/>
        <v>3</v>
      </c>
      <c r="M72" s="57">
        <f t="shared" si="18"/>
        <v>0</v>
      </c>
      <c r="N72" s="57">
        <f t="shared" si="18"/>
        <v>2</v>
      </c>
      <c r="O72" s="57">
        <f t="shared" si="18"/>
        <v>0</v>
      </c>
      <c r="P72" s="57">
        <f t="shared" si="18"/>
        <v>7</v>
      </c>
      <c r="Q72" s="58">
        <f t="shared" si="15"/>
        <v>131</v>
      </c>
      <c r="R72" s="57">
        <f t="shared" si="19"/>
        <v>209</v>
      </c>
      <c r="S72" s="57">
        <f t="shared" si="19"/>
        <v>47</v>
      </c>
      <c r="T72" s="57">
        <f t="shared" si="19"/>
        <v>5</v>
      </c>
      <c r="U72" s="57">
        <f t="shared" si="19"/>
        <v>0</v>
      </c>
      <c r="V72" s="57">
        <f t="shared" si="19"/>
        <v>5</v>
      </c>
      <c r="W72" s="57">
        <f t="shared" si="19"/>
        <v>1</v>
      </c>
      <c r="X72" s="57">
        <f t="shared" si="19"/>
        <v>23</v>
      </c>
      <c r="Y72" s="58">
        <f t="shared" si="16"/>
        <v>290</v>
      </c>
    </row>
    <row r="73" spans="1:25" ht="13.5" customHeight="1" x14ac:dyDescent="0.2">
      <c r="A73" s="59">
        <f t="shared" si="10"/>
        <v>0.44791666666666696</v>
      </c>
      <c r="B73" s="57">
        <f t="shared" si="17"/>
        <v>109</v>
      </c>
      <c r="C73" s="57">
        <f t="shared" si="17"/>
        <v>26</v>
      </c>
      <c r="D73" s="57">
        <f t="shared" si="17"/>
        <v>4</v>
      </c>
      <c r="E73" s="57">
        <f t="shared" si="17"/>
        <v>0</v>
      </c>
      <c r="F73" s="57">
        <f t="shared" si="17"/>
        <v>4</v>
      </c>
      <c r="G73" s="57">
        <f t="shared" si="17"/>
        <v>0</v>
      </c>
      <c r="H73" s="57">
        <f t="shared" si="17"/>
        <v>11</v>
      </c>
      <c r="I73" s="84">
        <f t="shared" si="12"/>
        <v>154</v>
      </c>
      <c r="J73" s="57">
        <f t="shared" si="18"/>
        <v>111</v>
      </c>
      <c r="K73" s="57">
        <f t="shared" si="18"/>
        <v>15</v>
      </c>
      <c r="L73" s="57">
        <f t="shared" si="18"/>
        <v>3</v>
      </c>
      <c r="M73" s="57">
        <f t="shared" si="18"/>
        <v>0</v>
      </c>
      <c r="N73" s="57">
        <f t="shared" si="18"/>
        <v>1</v>
      </c>
      <c r="O73" s="57">
        <f t="shared" si="18"/>
        <v>0</v>
      </c>
      <c r="P73" s="57">
        <f t="shared" si="18"/>
        <v>6</v>
      </c>
      <c r="Q73" s="58">
        <f t="shared" si="15"/>
        <v>136</v>
      </c>
      <c r="R73" s="57">
        <f t="shared" si="19"/>
        <v>220</v>
      </c>
      <c r="S73" s="57">
        <f t="shared" si="19"/>
        <v>41</v>
      </c>
      <c r="T73" s="57">
        <f t="shared" si="19"/>
        <v>7</v>
      </c>
      <c r="U73" s="57">
        <f t="shared" si="19"/>
        <v>0</v>
      </c>
      <c r="V73" s="57">
        <f t="shared" si="19"/>
        <v>5</v>
      </c>
      <c r="W73" s="57">
        <f t="shared" si="19"/>
        <v>0</v>
      </c>
      <c r="X73" s="57">
        <f t="shared" si="19"/>
        <v>17</v>
      </c>
      <c r="Y73" s="58">
        <f t="shared" si="16"/>
        <v>290</v>
      </c>
    </row>
    <row r="74" spans="1:25" ht="13.5" customHeight="1" x14ac:dyDescent="0.2">
      <c r="A74" s="59">
        <f t="shared" si="10"/>
        <v>0.45833333333333365</v>
      </c>
      <c r="B74" s="57">
        <f t="shared" si="17"/>
        <v>103</v>
      </c>
      <c r="C74" s="57">
        <f t="shared" si="17"/>
        <v>26</v>
      </c>
      <c r="D74" s="57">
        <f t="shared" si="17"/>
        <v>3</v>
      </c>
      <c r="E74" s="57">
        <f t="shared" si="17"/>
        <v>0</v>
      </c>
      <c r="F74" s="57">
        <f t="shared" si="17"/>
        <v>4</v>
      </c>
      <c r="G74" s="57">
        <f t="shared" si="17"/>
        <v>1</v>
      </c>
      <c r="H74" s="57">
        <f t="shared" si="17"/>
        <v>11</v>
      </c>
      <c r="I74" s="84">
        <f t="shared" si="12"/>
        <v>148</v>
      </c>
      <c r="J74" s="57">
        <f t="shared" si="18"/>
        <v>105</v>
      </c>
      <c r="K74" s="57">
        <f t="shared" si="18"/>
        <v>15</v>
      </c>
      <c r="L74" s="57">
        <f t="shared" si="18"/>
        <v>2</v>
      </c>
      <c r="M74" s="57">
        <f t="shared" si="18"/>
        <v>1</v>
      </c>
      <c r="N74" s="57">
        <f t="shared" si="18"/>
        <v>2</v>
      </c>
      <c r="O74" s="57">
        <f t="shared" si="18"/>
        <v>0</v>
      </c>
      <c r="P74" s="57">
        <f t="shared" si="18"/>
        <v>4</v>
      </c>
      <c r="Q74" s="58">
        <f t="shared" si="15"/>
        <v>129</v>
      </c>
      <c r="R74" s="57">
        <f t="shared" si="19"/>
        <v>208</v>
      </c>
      <c r="S74" s="57">
        <f t="shared" si="19"/>
        <v>41</v>
      </c>
      <c r="T74" s="57">
        <f t="shared" si="19"/>
        <v>5</v>
      </c>
      <c r="U74" s="57">
        <f t="shared" si="19"/>
        <v>1</v>
      </c>
      <c r="V74" s="57">
        <f t="shared" si="19"/>
        <v>6</v>
      </c>
      <c r="W74" s="57">
        <f t="shared" si="19"/>
        <v>1</v>
      </c>
      <c r="X74" s="57">
        <f t="shared" si="19"/>
        <v>15</v>
      </c>
      <c r="Y74" s="58">
        <f t="shared" si="16"/>
        <v>277</v>
      </c>
    </row>
    <row r="75" spans="1:25" ht="13.5" customHeight="1" x14ac:dyDescent="0.2">
      <c r="A75" s="60">
        <f t="shared" si="10"/>
        <v>0.46875000000000033</v>
      </c>
      <c r="B75" s="57">
        <f t="shared" si="17"/>
        <v>104</v>
      </c>
      <c r="C75" s="57">
        <f t="shared" si="17"/>
        <v>26</v>
      </c>
      <c r="D75" s="57">
        <f t="shared" si="17"/>
        <v>5</v>
      </c>
      <c r="E75" s="57">
        <f t="shared" si="17"/>
        <v>1</v>
      </c>
      <c r="F75" s="57">
        <f t="shared" si="17"/>
        <v>3</v>
      </c>
      <c r="G75" s="57">
        <f t="shared" si="17"/>
        <v>1</v>
      </c>
      <c r="H75" s="57">
        <f t="shared" si="17"/>
        <v>12</v>
      </c>
      <c r="I75" s="84">
        <f t="shared" si="12"/>
        <v>152</v>
      </c>
      <c r="J75" s="57">
        <f t="shared" si="18"/>
        <v>112</v>
      </c>
      <c r="K75" s="57">
        <f t="shared" si="18"/>
        <v>16</v>
      </c>
      <c r="L75" s="57">
        <f t="shared" si="18"/>
        <v>2</v>
      </c>
      <c r="M75" s="57">
        <f t="shared" si="18"/>
        <v>1</v>
      </c>
      <c r="N75" s="57">
        <f t="shared" si="18"/>
        <v>2</v>
      </c>
      <c r="O75" s="57">
        <f t="shared" si="18"/>
        <v>0</v>
      </c>
      <c r="P75" s="57">
        <f t="shared" si="18"/>
        <v>3</v>
      </c>
      <c r="Q75" s="58">
        <f t="shared" si="15"/>
        <v>136</v>
      </c>
      <c r="R75" s="57">
        <f t="shared" si="19"/>
        <v>216</v>
      </c>
      <c r="S75" s="57">
        <f t="shared" si="19"/>
        <v>42</v>
      </c>
      <c r="T75" s="57">
        <f t="shared" si="19"/>
        <v>7</v>
      </c>
      <c r="U75" s="57">
        <f t="shared" si="19"/>
        <v>2</v>
      </c>
      <c r="V75" s="57">
        <f t="shared" si="19"/>
        <v>5</v>
      </c>
      <c r="W75" s="57">
        <f t="shared" si="19"/>
        <v>1</v>
      </c>
      <c r="X75" s="57">
        <f t="shared" si="19"/>
        <v>15</v>
      </c>
      <c r="Y75" s="58">
        <f t="shared" si="16"/>
        <v>288</v>
      </c>
    </row>
    <row r="76" spans="1:25" ht="13.5" customHeight="1" x14ac:dyDescent="0.2">
      <c r="A76" s="59">
        <f t="shared" si="10"/>
        <v>0.47916666666666702</v>
      </c>
      <c r="B76" s="57">
        <f t="shared" si="17"/>
        <v>122</v>
      </c>
      <c r="C76" s="57">
        <f t="shared" si="17"/>
        <v>27</v>
      </c>
      <c r="D76" s="57">
        <f t="shared" si="17"/>
        <v>4</v>
      </c>
      <c r="E76" s="57">
        <f t="shared" si="17"/>
        <v>1</v>
      </c>
      <c r="F76" s="57">
        <f t="shared" si="17"/>
        <v>3</v>
      </c>
      <c r="G76" s="57">
        <f t="shared" si="17"/>
        <v>2</v>
      </c>
      <c r="H76" s="57">
        <f t="shared" si="17"/>
        <v>9</v>
      </c>
      <c r="I76" s="84">
        <f t="shared" si="12"/>
        <v>168</v>
      </c>
      <c r="J76" s="57">
        <f t="shared" si="18"/>
        <v>102</v>
      </c>
      <c r="K76" s="57">
        <f t="shared" si="18"/>
        <v>13</v>
      </c>
      <c r="L76" s="57">
        <f t="shared" si="18"/>
        <v>1</v>
      </c>
      <c r="M76" s="57">
        <f t="shared" si="18"/>
        <v>1</v>
      </c>
      <c r="N76" s="57">
        <f t="shared" si="18"/>
        <v>3</v>
      </c>
      <c r="O76" s="57">
        <f t="shared" si="18"/>
        <v>0</v>
      </c>
      <c r="P76" s="57">
        <f t="shared" si="18"/>
        <v>2</v>
      </c>
      <c r="Q76" s="58">
        <f t="shared" si="15"/>
        <v>122</v>
      </c>
      <c r="R76" s="57">
        <f t="shared" si="19"/>
        <v>224</v>
      </c>
      <c r="S76" s="57">
        <f t="shared" si="19"/>
        <v>40</v>
      </c>
      <c r="T76" s="57">
        <f t="shared" si="19"/>
        <v>5</v>
      </c>
      <c r="U76" s="57">
        <f t="shared" si="19"/>
        <v>2</v>
      </c>
      <c r="V76" s="57">
        <f t="shared" si="19"/>
        <v>6</v>
      </c>
      <c r="W76" s="57">
        <f t="shared" si="19"/>
        <v>2</v>
      </c>
      <c r="X76" s="57">
        <f t="shared" si="19"/>
        <v>11</v>
      </c>
      <c r="Y76" s="58">
        <f t="shared" si="16"/>
        <v>290</v>
      </c>
    </row>
    <row r="77" spans="1:25" ht="13.5" customHeight="1" x14ac:dyDescent="0.2">
      <c r="A77" s="59">
        <f t="shared" si="10"/>
        <v>0.4895833333333337</v>
      </c>
      <c r="B77" s="57">
        <f t="shared" si="17"/>
        <v>122</v>
      </c>
      <c r="C77" s="57">
        <f t="shared" si="17"/>
        <v>29</v>
      </c>
      <c r="D77" s="57">
        <f t="shared" si="17"/>
        <v>2</v>
      </c>
      <c r="E77" s="57">
        <f t="shared" si="17"/>
        <v>1</v>
      </c>
      <c r="F77" s="57">
        <f t="shared" si="17"/>
        <v>2</v>
      </c>
      <c r="G77" s="57">
        <f t="shared" si="17"/>
        <v>2</v>
      </c>
      <c r="H77" s="57">
        <f t="shared" si="17"/>
        <v>7</v>
      </c>
      <c r="I77" s="84">
        <f t="shared" si="12"/>
        <v>165</v>
      </c>
      <c r="J77" s="57">
        <f t="shared" si="18"/>
        <v>103</v>
      </c>
      <c r="K77" s="57">
        <f t="shared" si="18"/>
        <v>15</v>
      </c>
      <c r="L77" s="57">
        <f t="shared" si="18"/>
        <v>1</v>
      </c>
      <c r="M77" s="57">
        <f t="shared" si="18"/>
        <v>1</v>
      </c>
      <c r="N77" s="57">
        <f t="shared" si="18"/>
        <v>4</v>
      </c>
      <c r="O77" s="57">
        <f t="shared" si="18"/>
        <v>0</v>
      </c>
      <c r="P77" s="57">
        <f t="shared" si="18"/>
        <v>3</v>
      </c>
      <c r="Q77" s="58">
        <f t="shared" si="15"/>
        <v>127</v>
      </c>
      <c r="R77" s="57">
        <f t="shared" si="19"/>
        <v>225</v>
      </c>
      <c r="S77" s="57">
        <f t="shared" si="19"/>
        <v>44</v>
      </c>
      <c r="T77" s="57">
        <f t="shared" si="19"/>
        <v>3</v>
      </c>
      <c r="U77" s="57">
        <f t="shared" si="19"/>
        <v>2</v>
      </c>
      <c r="V77" s="57">
        <f t="shared" si="19"/>
        <v>6</v>
      </c>
      <c r="W77" s="57">
        <f t="shared" si="19"/>
        <v>2</v>
      </c>
      <c r="X77" s="57">
        <f t="shared" si="19"/>
        <v>10</v>
      </c>
      <c r="Y77" s="58">
        <f t="shared" si="16"/>
        <v>292</v>
      </c>
    </row>
    <row r="78" spans="1:25" ht="13.5" customHeight="1" x14ac:dyDescent="0.2">
      <c r="A78" s="60">
        <f t="shared" si="10"/>
        <v>0.50000000000000033</v>
      </c>
      <c r="B78" s="57">
        <f t="shared" ref="B78:H87" si="20">SUM(B29:B32)</f>
        <v>131</v>
      </c>
      <c r="C78" s="57">
        <f t="shared" si="20"/>
        <v>34</v>
      </c>
      <c r="D78" s="57">
        <f t="shared" si="20"/>
        <v>2</v>
      </c>
      <c r="E78" s="57">
        <f t="shared" si="20"/>
        <v>1</v>
      </c>
      <c r="F78" s="57">
        <f t="shared" si="20"/>
        <v>1</v>
      </c>
      <c r="G78" s="57">
        <f t="shared" si="20"/>
        <v>3</v>
      </c>
      <c r="H78" s="57">
        <f t="shared" si="20"/>
        <v>8</v>
      </c>
      <c r="I78" s="84">
        <f t="shared" si="12"/>
        <v>180</v>
      </c>
      <c r="J78" s="57">
        <f t="shared" ref="J78:P87" si="21">SUM(J29:J32)</f>
        <v>102</v>
      </c>
      <c r="K78" s="57">
        <f t="shared" si="21"/>
        <v>15</v>
      </c>
      <c r="L78" s="57">
        <f t="shared" si="21"/>
        <v>2</v>
      </c>
      <c r="M78" s="57">
        <f t="shared" si="21"/>
        <v>0</v>
      </c>
      <c r="N78" s="57">
        <f t="shared" si="21"/>
        <v>3</v>
      </c>
      <c r="O78" s="57">
        <f t="shared" si="21"/>
        <v>0</v>
      </c>
      <c r="P78" s="57">
        <f t="shared" si="21"/>
        <v>5</v>
      </c>
      <c r="Q78" s="58">
        <f t="shared" si="15"/>
        <v>127</v>
      </c>
      <c r="R78" s="57">
        <f t="shared" ref="R78:X87" si="22">SUM(R29:R32)</f>
        <v>233</v>
      </c>
      <c r="S78" s="57">
        <f t="shared" si="22"/>
        <v>49</v>
      </c>
      <c r="T78" s="57">
        <f t="shared" si="22"/>
        <v>4</v>
      </c>
      <c r="U78" s="57">
        <f t="shared" si="22"/>
        <v>1</v>
      </c>
      <c r="V78" s="57">
        <f t="shared" si="22"/>
        <v>4</v>
      </c>
      <c r="W78" s="57">
        <f t="shared" si="22"/>
        <v>3</v>
      </c>
      <c r="X78" s="57">
        <f t="shared" si="22"/>
        <v>13</v>
      </c>
      <c r="Y78" s="58">
        <f t="shared" si="16"/>
        <v>307</v>
      </c>
    </row>
    <row r="79" spans="1:25" ht="13.5" customHeight="1" x14ac:dyDescent="0.2">
      <c r="A79" s="59">
        <f t="shared" si="10"/>
        <v>0.51041666666666696</v>
      </c>
      <c r="B79" s="57">
        <f t="shared" si="20"/>
        <v>130</v>
      </c>
      <c r="C79" s="57">
        <f t="shared" si="20"/>
        <v>30</v>
      </c>
      <c r="D79" s="57">
        <f t="shared" si="20"/>
        <v>2</v>
      </c>
      <c r="E79" s="57">
        <f t="shared" si="20"/>
        <v>0</v>
      </c>
      <c r="F79" s="57">
        <f t="shared" si="20"/>
        <v>2</v>
      </c>
      <c r="G79" s="57">
        <f t="shared" si="20"/>
        <v>3</v>
      </c>
      <c r="H79" s="57">
        <f t="shared" si="20"/>
        <v>4</v>
      </c>
      <c r="I79" s="84">
        <f t="shared" si="12"/>
        <v>171</v>
      </c>
      <c r="J79" s="57">
        <f t="shared" si="21"/>
        <v>94</v>
      </c>
      <c r="K79" s="57">
        <f t="shared" si="21"/>
        <v>16</v>
      </c>
      <c r="L79" s="57">
        <f t="shared" si="21"/>
        <v>4</v>
      </c>
      <c r="M79" s="57">
        <f t="shared" si="21"/>
        <v>0</v>
      </c>
      <c r="N79" s="57">
        <f t="shared" si="21"/>
        <v>3</v>
      </c>
      <c r="O79" s="57">
        <f t="shared" si="21"/>
        <v>0</v>
      </c>
      <c r="P79" s="57">
        <f t="shared" si="21"/>
        <v>6</v>
      </c>
      <c r="Q79" s="58">
        <f t="shared" si="15"/>
        <v>123</v>
      </c>
      <c r="R79" s="57">
        <f t="shared" si="22"/>
        <v>224</v>
      </c>
      <c r="S79" s="57">
        <f t="shared" si="22"/>
        <v>46</v>
      </c>
      <c r="T79" s="57">
        <f t="shared" si="22"/>
        <v>6</v>
      </c>
      <c r="U79" s="57">
        <f t="shared" si="22"/>
        <v>0</v>
      </c>
      <c r="V79" s="57">
        <f t="shared" si="22"/>
        <v>5</v>
      </c>
      <c r="W79" s="57">
        <f t="shared" si="22"/>
        <v>3</v>
      </c>
      <c r="X79" s="57">
        <f t="shared" si="22"/>
        <v>10</v>
      </c>
      <c r="Y79" s="58">
        <f t="shared" si="16"/>
        <v>294</v>
      </c>
    </row>
    <row r="80" spans="1:25" ht="13.5" customHeight="1" x14ac:dyDescent="0.2">
      <c r="A80" s="59">
        <f t="shared" si="10"/>
        <v>0.52083333333333359</v>
      </c>
      <c r="B80" s="57">
        <f t="shared" si="20"/>
        <v>131</v>
      </c>
      <c r="C80" s="57">
        <f t="shared" si="20"/>
        <v>28</v>
      </c>
      <c r="D80" s="57">
        <f t="shared" si="20"/>
        <v>3</v>
      </c>
      <c r="E80" s="57">
        <f t="shared" si="20"/>
        <v>0</v>
      </c>
      <c r="F80" s="57">
        <f t="shared" si="20"/>
        <v>2</v>
      </c>
      <c r="G80" s="57">
        <f t="shared" si="20"/>
        <v>3</v>
      </c>
      <c r="H80" s="57">
        <f t="shared" si="20"/>
        <v>9</v>
      </c>
      <c r="I80" s="84">
        <f t="shared" si="12"/>
        <v>176</v>
      </c>
      <c r="J80" s="57">
        <f t="shared" si="21"/>
        <v>120</v>
      </c>
      <c r="K80" s="57">
        <f t="shared" si="21"/>
        <v>21</v>
      </c>
      <c r="L80" s="57">
        <f t="shared" si="21"/>
        <v>6</v>
      </c>
      <c r="M80" s="57">
        <f t="shared" si="21"/>
        <v>0</v>
      </c>
      <c r="N80" s="57">
        <f t="shared" si="21"/>
        <v>2</v>
      </c>
      <c r="O80" s="57">
        <f t="shared" si="21"/>
        <v>0</v>
      </c>
      <c r="P80" s="57">
        <f t="shared" si="21"/>
        <v>6</v>
      </c>
      <c r="Q80" s="58">
        <f t="shared" si="15"/>
        <v>155</v>
      </c>
      <c r="R80" s="57">
        <f t="shared" si="22"/>
        <v>251</v>
      </c>
      <c r="S80" s="57">
        <f t="shared" si="22"/>
        <v>49</v>
      </c>
      <c r="T80" s="57">
        <f t="shared" si="22"/>
        <v>9</v>
      </c>
      <c r="U80" s="57">
        <f t="shared" si="22"/>
        <v>0</v>
      </c>
      <c r="V80" s="57">
        <f t="shared" si="22"/>
        <v>4</v>
      </c>
      <c r="W80" s="57">
        <f t="shared" si="22"/>
        <v>3</v>
      </c>
      <c r="X80" s="57">
        <f t="shared" si="22"/>
        <v>15</v>
      </c>
      <c r="Y80" s="58">
        <f t="shared" si="16"/>
        <v>331</v>
      </c>
    </row>
    <row r="81" spans="1:25" ht="13.5" customHeight="1" x14ac:dyDescent="0.2">
      <c r="A81" s="60">
        <f t="shared" si="10"/>
        <v>0.53125000000000022</v>
      </c>
      <c r="B81" s="57">
        <f t="shared" si="20"/>
        <v>133</v>
      </c>
      <c r="C81" s="57">
        <f t="shared" si="20"/>
        <v>27</v>
      </c>
      <c r="D81" s="57">
        <f t="shared" si="20"/>
        <v>6</v>
      </c>
      <c r="E81" s="57">
        <f t="shared" si="20"/>
        <v>0</v>
      </c>
      <c r="F81" s="57">
        <f t="shared" si="20"/>
        <v>2</v>
      </c>
      <c r="G81" s="57">
        <f t="shared" si="20"/>
        <v>3</v>
      </c>
      <c r="H81" s="57">
        <f t="shared" si="20"/>
        <v>11</v>
      </c>
      <c r="I81" s="84">
        <f t="shared" si="12"/>
        <v>182</v>
      </c>
      <c r="J81" s="57">
        <f t="shared" si="21"/>
        <v>131</v>
      </c>
      <c r="K81" s="57">
        <f t="shared" si="21"/>
        <v>18</v>
      </c>
      <c r="L81" s="57">
        <f t="shared" si="21"/>
        <v>6</v>
      </c>
      <c r="M81" s="57">
        <f t="shared" si="21"/>
        <v>1</v>
      </c>
      <c r="N81" s="57">
        <f t="shared" si="21"/>
        <v>2</v>
      </c>
      <c r="O81" s="57">
        <f t="shared" si="21"/>
        <v>0</v>
      </c>
      <c r="P81" s="57">
        <f t="shared" si="21"/>
        <v>6</v>
      </c>
      <c r="Q81" s="58">
        <f t="shared" si="15"/>
        <v>164</v>
      </c>
      <c r="R81" s="57">
        <f t="shared" si="22"/>
        <v>264</v>
      </c>
      <c r="S81" s="57">
        <f t="shared" si="22"/>
        <v>45</v>
      </c>
      <c r="T81" s="57">
        <f t="shared" si="22"/>
        <v>12</v>
      </c>
      <c r="U81" s="57">
        <f t="shared" si="22"/>
        <v>1</v>
      </c>
      <c r="V81" s="57">
        <f t="shared" si="22"/>
        <v>4</v>
      </c>
      <c r="W81" s="57">
        <f t="shared" si="22"/>
        <v>3</v>
      </c>
      <c r="X81" s="57">
        <f t="shared" si="22"/>
        <v>17</v>
      </c>
      <c r="Y81" s="58">
        <f t="shared" si="16"/>
        <v>346</v>
      </c>
    </row>
    <row r="82" spans="1:25" ht="13.5" customHeight="1" x14ac:dyDescent="0.2">
      <c r="A82" s="59">
        <f t="shared" si="10"/>
        <v>0.54166666666666685</v>
      </c>
      <c r="B82" s="57">
        <f t="shared" si="20"/>
        <v>138</v>
      </c>
      <c r="C82" s="57">
        <f t="shared" si="20"/>
        <v>24</v>
      </c>
      <c r="D82" s="57">
        <f t="shared" si="20"/>
        <v>6</v>
      </c>
      <c r="E82" s="57">
        <f t="shared" si="20"/>
        <v>0</v>
      </c>
      <c r="F82" s="57">
        <f t="shared" si="20"/>
        <v>3</v>
      </c>
      <c r="G82" s="57">
        <f t="shared" si="20"/>
        <v>1</v>
      </c>
      <c r="H82" s="57">
        <f t="shared" si="20"/>
        <v>11</v>
      </c>
      <c r="I82" s="84">
        <f t="shared" si="12"/>
        <v>183</v>
      </c>
      <c r="J82" s="57">
        <f t="shared" si="21"/>
        <v>137</v>
      </c>
      <c r="K82" s="57">
        <f t="shared" si="21"/>
        <v>19</v>
      </c>
      <c r="L82" s="57">
        <f t="shared" si="21"/>
        <v>5</v>
      </c>
      <c r="M82" s="57">
        <f t="shared" si="21"/>
        <v>1</v>
      </c>
      <c r="N82" s="57">
        <f t="shared" si="21"/>
        <v>2</v>
      </c>
      <c r="O82" s="57">
        <f t="shared" si="21"/>
        <v>0</v>
      </c>
      <c r="P82" s="57">
        <f t="shared" si="21"/>
        <v>4</v>
      </c>
      <c r="Q82" s="58">
        <f t="shared" si="15"/>
        <v>168</v>
      </c>
      <c r="R82" s="57">
        <f t="shared" si="22"/>
        <v>275</v>
      </c>
      <c r="S82" s="57">
        <f t="shared" si="22"/>
        <v>43</v>
      </c>
      <c r="T82" s="57">
        <f t="shared" si="22"/>
        <v>11</v>
      </c>
      <c r="U82" s="57">
        <f t="shared" si="22"/>
        <v>1</v>
      </c>
      <c r="V82" s="57">
        <f t="shared" si="22"/>
        <v>5</v>
      </c>
      <c r="W82" s="57">
        <f t="shared" si="22"/>
        <v>1</v>
      </c>
      <c r="X82" s="57">
        <f t="shared" si="22"/>
        <v>15</v>
      </c>
      <c r="Y82" s="58">
        <f t="shared" si="16"/>
        <v>351</v>
      </c>
    </row>
    <row r="83" spans="1:25" ht="13.5" customHeight="1" x14ac:dyDescent="0.2">
      <c r="A83" s="59">
        <f t="shared" si="10"/>
        <v>0.55208333333333348</v>
      </c>
      <c r="B83" s="57">
        <f t="shared" si="20"/>
        <v>141</v>
      </c>
      <c r="C83" s="57">
        <f t="shared" si="20"/>
        <v>28</v>
      </c>
      <c r="D83" s="57">
        <f t="shared" si="20"/>
        <v>4</v>
      </c>
      <c r="E83" s="57">
        <f t="shared" si="20"/>
        <v>0</v>
      </c>
      <c r="F83" s="57">
        <f t="shared" si="20"/>
        <v>2</v>
      </c>
      <c r="G83" s="57">
        <f t="shared" si="20"/>
        <v>1</v>
      </c>
      <c r="H83" s="57">
        <f t="shared" si="20"/>
        <v>13</v>
      </c>
      <c r="I83" s="84">
        <f t="shared" si="12"/>
        <v>189</v>
      </c>
      <c r="J83" s="57">
        <f t="shared" si="21"/>
        <v>140</v>
      </c>
      <c r="K83" s="57">
        <f t="shared" si="21"/>
        <v>19</v>
      </c>
      <c r="L83" s="57">
        <f t="shared" si="21"/>
        <v>7</v>
      </c>
      <c r="M83" s="57">
        <f t="shared" si="21"/>
        <v>1</v>
      </c>
      <c r="N83" s="57">
        <f t="shared" si="21"/>
        <v>2</v>
      </c>
      <c r="O83" s="57">
        <f t="shared" si="21"/>
        <v>0</v>
      </c>
      <c r="P83" s="57">
        <f t="shared" si="21"/>
        <v>5</v>
      </c>
      <c r="Q83" s="58">
        <f t="shared" si="15"/>
        <v>174</v>
      </c>
      <c r="R83" s="57">
        <f t="shared" si="22"/>
        <v>281</v>
      </c>
      <c r="S83" s="57">
        <f t="shared" si="22"/>
        <v>47</v>
      </c>
      <c r="T83" s="57">
        <f t="shared" si="22"/>
        <v>11</v>
      </c>
      <c r="U83" s="57">
        <f t="shared" si="22"/>
        <v>1</v>
      </c>
      <c r="V83" s="57">
        <f t="shared" si="22"/>
        <v>4</v>
      </c>
      <c r="W83" s="57">
        <f t="shared" si="22"/>
        <v>1</v>
      </c>
      <c r="X83" s="57">
        <f t="shared" si="22"/>
        <v>18</v>
      </c>
      <c r="Y83" s="58">
        <f t="shared" si="16"/>
        <v>363</v>
      </c>
    </row>
    <row r="84" spans="1:25" ht="13.5" customHeight="1" x14ac:dyDescent="0.2">
      <c r="A84" s="60">
        <f t="shared" si="10"/>
        <v>0.56250000000000011</v>
      </c>
      <c r="B84" s="57">
        <f t="shared" si="20"/>
        <v>137</v>
      </c>
      <c r="C84" s="57">
        <f t="shared" si="20"/>
        <v>32</v>
      </c>
      <c r="D84" s="57">
        <f t="shared" si="20"/>
        <v>4</v>
      </c>
      <c r="E84" s="57">
        <f t="shared" si="20"/>
        <v>0</v>
      </c>
      <c r="F84" s="57">
        <f t="shared" si="20"/>
        <v>2</v>
      </c>
      <c r="G84" s="57">
        <f t="shared" si="20"/>
        <v>0</v>
      </c>
      <c r="H84" s="57">
        <f t="shared" si="20"/>
        <v>13</v>
      </c>
      <c r="I84" s="84">
        <f t="shared" si="12"/>
        <v>188</v>
      </c>
      <c r="J84" s="57">
        <f t="shared" si="21"/>
        <v>117</v>
      </c>
      <c r="K84" s="57">
        <f t="shared" si="21"/>
        <v>20</v>
      </c>
      <c r="L84" s="57">
        <f t="shared" si="21"/>
        <v>5</v>
      </c>
      <c r="M84" s="57">
        <f t="shared" si="21"/>
        <v>1</v>
      </c>
      <c r="N84" s="57">
        <f t="shared" si="21"/>
        <v>2</v>
      </c>
      <c r="O84" s="57">
        <f t="shared" si="21"/>
        <v>0</v>
      </c>
      <c r="P84" s="57">
        <f t="shared" si="21"/>
        <v>6</v>
      </c>
      <c r="Q84" s="58">
        <f t="shared" si="15"/>
        <v>151</v>
      </c>
      <c r="R84" s="57">
        <f t="shared" si="22"/>
        <v>254</v>
      </c>
      <c r="S84" s="57">
        <f t="shared" si="22"/>
        <v>52</v>
      </c>
      <c r="T84" s="57">
        <f t="shared" si="22"/>
        <v>9</v>
      </c>
      <c r="U84" s="57">
        <f t="shared" si="22"/>
        <v>1</v>
      </c>
      <c r="V84" s="57">
        <f t="shared" si="22"/>
        <v>4</v>
      </c>
      <c r="W84" s="57">
        <f t="shared" si="22"/>
        <v>0</v>
      </c>
      <c r="X84" s="57">
        <f t="shared" si="22"/>
        <v>19</v>
      </c>
      <c r="Y84" s="58">
        <f t="shared" si="16"/>
        <v>339</v>
      </c>
    </row>
    <row r="85" spans="1:25" ht="13.5" customHeight="1" x14ac:dyDescent="0.2">
      <c r="A85" s="59">
        <f t="shared" si="10"/>
        <v>0.57291666666666674</v>
      </c>
      <c r="B85" s="57">
        <f t="shared" si="20"/>
        <v>140</v>
      </c>
      <c r="C85" s="57">
        <f t="shared" si="20"/>
        <v>28</v>
      </c>
      <c r="D85" s="57">
        <f t="shared" si="20"/>
        <v>1</v>
      </c>
      <c r="E85" s="57">
        <f t="shared" si="20"/>
        <v>0</v>
      </c>
      <c r="F85" s="57">
        <f t="shared" si="20"/>
        <v>2</v>
      </c>
      <c r="G85" s="57">
        <f t="shared" si="20"/>
        <v>1</v>
      </c>
      <c r="H85" s="57">
        <f t="shared" si="20"/>
        <v>15</v>
      </c>
      <c r="I85" s="84">
        <f t="shared" si="12"/>
        <v>187</v>
      </c>
      <c r="J85" s="57">
        <f t="shared" si="21"/>
        <v>107</v>
      </c>
      <c r="K85" s="57">
        <f t="shared" si="21"/>
        <v>24</v>
      </c>
      <c r="L85" s="57">
        <f t="shared" si="21"/>
        <v>4</v>
      </c>
      <c r="M85" s="57">
        <f t="shared" si="21"/>
        <v>0</v>
      </c>
      <c r="N85" s="57">
        <f t="shared" si="21"/>
        <v>2</v>
      </c>
      <c r="O85" s="57">
        <f t="shared" si="21"/>
        <v>1</v>
      </c>
      <c r="P85" s="57">
        <f t="shared" si="21"/>
        <v>7</v>
      </c>
      <c r="Q85" s="58">
        <f t="shared" si="15"/>
        <v>145</v>
      </c>
      <c r="R85" s="57">
        <f t="shared" si="22"/>
        <v>247</v>
      </c>
      <c r="S85" s="57">
        <f t="shared" si="22"/>
        <v>52</v>
      </c>
      <c r="T85" s="57">
        <f t="shared" si="22"/>
        <v>5</v>
      </c>
      <c r="U85" s="57">
        <f t="shared" si="22"/>
        <v>0</v>
      </c>
      <c r="V85" s="57">
        <f t="shared" si="22"/>
        <v>4</v>
      </c>
      <c r="W85" s="57">
        <f t="shared" si="22"/>
        <v>2</v>
      </c>
      <c r="X85" s="57">
        <f t="shared" si="22"/>
        <v>22</v>
      </c>
      <c r="Y85" s="58">
        <f t="shared" si="16"/>
        <v>332</v>
      </c>
    </row>
    <row r="86" spans="1:25" ht="13.5" customHeight="1" x14ac:dyDescent="0.2">
      <c r="A86" s="59">
        <f t="shared" si="10"/>
        <v>0.58333333333333337</v>
      </c>
      <c r="B86" s="57">
        <f t="shared" si="20"/>
        <v>140</v>
      </c>
      <c r="C86" s="57">
        <f t="shared" si="20"/>
        <v>23</v>
      </c>
      <c r="D86" s="57">
        <f t="shared" si="20"/>
        <v>1</v>
      </c>
      <c r="E86" s="57">
        <f t="shared" si="20"/>
        <v>0</v>
      </c>
      <c r="F86" s="57">
        <f t="shared" si="20"/>
        <v>1</v>
      </c>
      <c r="G86" s="57">
        <f t="shared" si="20"/>
        <v>2</v>
      </c>
      <c r="H86" s="57">
        <f t="shared" si="20"/>
        <v>13</v>
      </c>
      <c r="I86" s="84">
        <f t="shared" si="12"/>
        <v>180</v>
      </c>
      <c r="J86" s="57">
        <f t="shared" si="21"/>
        <v>113</v>
      </c>
      <c r="K86" s="57">
        <f t="shared" si="21"/>
        <v>25</v>
      </c>
      <c r="L86" s="57">
        <f t="shared" si="21"/>
        <v>4</v>
      </c>
      <c r="M86" s="57">
        <f t="shared" si="21"/>
        <v>0</v>
      </c>
      <c r="N86" s="57">
        <f t="shared" si="21"/>
        <v>2</v>
      </c>
      <c r="O86" s="57">
        <f t="shared" si="21"/>
        <v>2</v>
      </c>
      <c r="P86" s="57">
        <f t="shared" si="21"/>
        <v>7</v>
      </c>
      <c r="Q86" s="58">
        <f t="shared" si="15"/>
        <v>153</v>
      </c>
      <c r="R86" s="57">
        <f t="shared" si="22"/>
        <v>253</v>
      </c>
      <c r="S86" s="57">
        <f t="shared" si="22"/>
        <v>48</v>
      </c>
      <c r="T86" s="57">
        <f t="shared" si="22"/>
        <v>5</v>
      </c>
      <c r="U86" s="57">
        <f t="shared" si="22"/>
        <v>0</v>
      </c>
      <c r="V86" s="57">
        <f t="shared" si="22"/>
        <v>3</v>
      </c>
      <c r="W86" s="57">
        <f t="shared" si="22"/>
        <v>4</v>
      </c>
      <c r="X86" s="57">
        <f t="shared" si="22"/>
        <v>20</v>
      </c>
      <c r="Y86" s="58">
        <f t="shared" si="16"/>
        <v>333</v>
      </c>
    </row>
    <row r="87" spans="1:25" ht="13.5" customHeight="1" x14ac:dyDescent="0.2">
      <c r="A87" s="60">
        <f t="shared" si="10"/>
        <v>0.59375</v>
      </c>
      <c r="B87" s="57">
        <f t="shared" si="20"/>
        <v>131</v>
      </c>
      <c r="C87" s="57">
        <f t="shared" si="20"/>
        <v>24</v>
      </c>
      <c r="D87" s="57">
        <f t="shared" si="20"/>
        <v>2</v>
      </c>
      <c r="E87" s="57">
        <f t="shared" si="20"/>
        <v>0</v>
      </c>
      <c r="F87" s="57">
        <f t="shared" si="20"/>
        <v>1</v>
      </c>
      <c r="G87" s="57">
        <f t="shared" si="20"/>
        <v>2</v>
      </c>
      <c r="H87" s="57">
        <f t="shared" si="20"/>
        <v>15</v>
      </c>
      <c r="I87" s="84">
        <f t="shared" si="12"/>
        <v>175</v>
      </c>
      <c r="J87" s="57">
        <f t="shared" si="21"/>
        <v>125</v>
      </c>
      <c r="K87" s="57">
        <f t="shared" si="21"/>
        <v>24</v>
      </c>
      <c r="L87" s="57">
        <f t="shared" si="21"/>
        <v>0</v>
      </c>
      <c r="M87" s="57">
        <f t="shared" si="21"/>
        <v>0</v>
      </c>
      <c r="N87" s="57">
        <f t="shared" si="21"/>
        <v>1</v>
      </c>
      <c r="O87" s="57">
        <f t="shared" si="21"/>
        <v>2</v>
      </c>
      <c r="P87" s="57">
        <f t="shared" si="21"/>
        <v>6</v>
      </c>
      <c r="Q87" s="58">
        <f t="shared" si="15"/>
        <v>158</v>
      </c>
      <c r="R87" s="57">
        <f t="shared" si="22"/>
        <v>256</v>
      </c>
      <c r="S87" s="57">
        <f t="shared" si="22"/>
        <v>48</v>
      </c>
      <c r="T87" s="57">
        <f t="shared" si="22"/>
        <v>2</v>
      </c>
      <c r="U87" s="57">
        <f t="shared" si="22"/>
        <v>0</v>
      </c>
      <c r="V87" s="57">
        <f t="shared" si="22"/>
        <v>2</v>
      </c>
      <c r="W87" s="57">
        <f t="shared" si="22"/>
        <v>4</v>
      </c>
      <c r="X87" s="57">
        <f t="shared" si="22"/>
        <v>21</v>
      </c>
      <c r="Y87" s="58">
        <f t="shared" si="16"/>
        <v>333</v>
      </c>
    </row>
    <row r="88" spans="1:25" ht="13.5" customHeight="1" x14ac:dyDescent="0.2">
      <c r="A88" s="59">
        <f t="shared" si="10"/>
        <v>0.60416666666666663</v>
      </c>
      <c r="B88" s="57">
        <f t="shared" ref="B88:H97" si="23">SUM(B39:B42)</f>
        <v>131</v>
      </c>
      <c r="C88" s="57">
        <f t="shared" si="23"/>
        <v>19</v>
      </c>
      <c r="D88" s="57">
        <f t="shared" si="23"/>
        <v>1</v>
      </c>
      <c r="E88" s="57">
        <f t="shared" si="23"/>
        <v>0</v>
      </c>
      <c r="F88" s="57">
        <f t="shared" si="23"/>
        <v>2</v>
      </c>
      <c r="G88" s="57">
        <f t="shared" si="23"/>
        <v>2</v>
      </c>
      <c r="H88" s="57">
        <f t="shared" si="23"/>
        <v>14</v>
      </c>
      <c r="I88" s="84">
        <f t="shared" si="12"/>
        <v>169</v>
      </c>
      <c r="J88" s="57">
        <f t="shared" ref="J88:P97" si="24">SUM(J39:J42)</f>
        <v>136</v>
      </c>
      <c r="K88" s="57">
        <f t="shared" si="24"/>
        <v>22</v>
      </c>
      <c r="L88" s="57">
        <f t="shared" si="24"/>
        <v>3</v>
      </c>
      <c r="M88" s="57">
        <f t="shared" si="24"/>
        <v>0</v>
      </c>
      <c r="N88" s="57">
        <f t="shared" si="24"/>
        <v>2</v>
      </c>
      <c r="O88" s="57">
        <f t="shared" si="24"/>
        <v>2</v>
      </c>
      <c r="P88" s="57">
        <f t="shared" si="24"/>
        <v>6</v>
      </c>
      <c r="Q88" s="58">
        <f t="shared" si="15"/>
        <v>171</v>
      </c>
      <c r="R88" s="57">
        <f t="shared" ref="R88:X97" si="25">SUM(R39:R42)</f>
        <v>267</v>
      </c>
      <c r="S88" s="57">
        <f t="shared" si="25"/>
        <v>41</v>
      </c>
      <c r="T88" s="57">
        <f t="shared" si="25"/>
        <v>4</v>
      </c>
      <c r="U88" s="57">
        <f t="shared" si="25"/>
        <v>0</v>
      </c>
      <c r="V88" s="57">
        <f t="shared" si="25"/>
        <v>4</v>
      </c>
      <c r="W88" s="57">
        <f t="shared" si="25"/>
        <v>4</v>
      </c>
      <c r="X88" s="57">
        <f t="shared" si="25"/>
        <v>20</v>
      </c>
      <c r="Y88" s="58">
        <f t="shared" si="16"/>
        <v>340</v>
      </c>
    </row>
    <row r="89" spans="1:25" ht="13.5" customHeight="1" x14ac:dyDescent="0.2">
      <c r="A89" s="59">
        <f t="shared" si="10"/>
        <v>0.61458333333333326</v>
      </c>
      <c r="B89" s="57">
        <f t="shared" si="23"/>
        <v>141</v>
      </c>
      <c r="C89" s="57">
        <f t="shared" si="23"/>
        <v>18</v>
      </c>
      <c r="D89" s="57">
        <f t="shared" si="23"/>
        <v>2</v>
      </c>
      <c r="E89" s="57">
        <f t="shared" si="23"/>
        <v>0</v>
      </c>
      <c r="F89" s="57">
        <f t="shared" si="23"/>
        <v>3</v>
      </c>
      <c r="G89" s="57">
        <f t="shared" si="23"/>
        <v>1</v>
      </c>
      <c r="H89" s="57">
        <f t="shared" si="23"/>
        <v>14</v>
      </c>
      <c r="I89" s="84">
        <f t="shared" si="12"/>
        <v>179</v>
      </c>
      <c r="J89" s="57">
        <f t="shared" si="24"/>
        <v>152</v>
      </c>
      <c r="K89" s="57">
        <f t="shared" si="24"/>
        <v>19</v>
      </c>
      <c r="L89" s="57">
        <f t="shared" si="24"/>
        <v>4</v>
      </c>
      <c r="M89" s="57">
        <f t="shared" si="24"/>
        <v>0</v>
      </c>
      <c r="N89" s="57">
        <f t="shared" si="24"/>
        <v>1</v>
      </c>
      <c r="O89" s="57">
        <f t="shared" si="24"/>
        <v>1</v>
      </c>
      <c r="P89" s="57">
        <f t="shared" si="24"/>
        <v>5</v>
      </c>
      <c r="Q89" s="58">
        <f t="shared" si="15"/>
        <v>182</v>
      </c>
      <c r="R89" s="57">
        <f t="shared" si="25"/>
        <v>293</v>
      </c>
      <c r="S89" s="57">
        <f t="shared" si="25"/>
        <v>37</v>
      </c>
      <c r="T89" s="57">
        <f t="shared" si="25"/>
        <v>6</v>
      </c>
      <c r="U89" s="57">
        <f t="shared" si="25"/>
        <v>0</v>
      </c>
      <c r="V89" s="57">
        <f t="shared" si="25"/>
        <v>4</v>
      </c>
      <c r="W89" s="57">
        <f t="shared" si="25"/>
        <v>2</v>
      </c>
      <c r="X89" s="57">
        <f t="shared" si="25"/>
        <v>19</v>
      </c>
      <c r="Y89" s="58">
        <f t="shared" si="16"/>
        <v>361</v>
      </c>
    </row>
    <row r="90" spans="1:25" ht="13.5" customHeight="1" x14ac:dyDescent="0.2">
      <c r="A90" s="60">
        <f t="shared" si="10"/>
        <v>0.62499999999999989</v>
      </c>
      <c r="B90" s="57">
        <f t="shared" si="23"/>
        <v>146</v>
      </c>
      <c r="C90" s="57">
        <f t="shared" si="23"/>
        <v>22</v>
      </c>
      <c r="D90" s="57">
        <f t="shared" si="23"/>
        <v>3</v>
      </c>
      <c r="E90" s="57">
        <f t="shared" si="23"/>
        <v>0</v>
      </c>
      <c r="F90" s="57">
        <f t="shared" si="23"/>
        <v>4</v>
      </c>
      <c r="G90" s="57">
        <f t="shared" si="23"/>
        <v>0</v>
      </c>
      <c r="H90" s="57">
        <f t="shared" si="23"/>
        <v>13</v>
      </c>
      <c r="I90" s="84">
        <f t="shared" si="12"/>
        <v>188</v>
      </c>
      <c r="J90" s="57">
        <f t="shared" si="24"/>
        <v>168</v>
      </c>
      <c r="K90" s="57">
        <f t="shared" si="24"/>
        <v>19</v>
      </c>
      <c r="L90" s="57">
        <f t="shared" si="24"/>
        <v>5</v>
      </c>
      <c r="M90" s="57">
        <f t="shared" si="24"/>
        <v>0</v>
      </c>
      <c r="N90" s="57">
        <f t="shared" si="24"/>
        <v>1</v>
      </c>
      <c r="O90" s="57">
        <f t="shared" si="24"/>
        <v>0</v>
      </c>
      <c r="P90" s="57">
        <f t="shared" si="24"/>
        <v>7</v>
      </c>
      <c r="Q90" s="58">
        <f t="shared" si="15"/>
        <v>200</v>
      </c>
      <c r="R90" s="57">
        <f t="shared" si="25"/>
        <v>314</v>
      </c>
      <c r="S90" s="57">
        <f t="shared" si="25"/>
        <v>41</v>
      </c>
      <c r="T90" s="57">
        <f t="shared" si="25"/>
        <v>8</v>
      </c>
      <c r="U90" s="57">
        <f t="shared" si="25"/>
        <v>0</v>
      </c>
      <c r="V90" s="57">
        <f t="shared" si="25"/>
        <v>5</v>
      </c>
      <c r="W90" s="57">
        <f t="shared" si="25"/>
        <v>0</v>
      </c>
      <c r="X90" s="57">
        <f t="shared" si="25"/>
        <v>20</v>
      </c>
      <c r="Y90" s="58">
        <f t="shared" si="16"/>
        <v>388</v>
      </c>
    </row>
    <row r="91" spans="1:25" ht="13.5" customHeight="1" x14ac:dyDescent="0.2">
      <c r="A91" s="59">
        <f t="shared" si="10"/>
        <v>0.63541666666666652</v>
      </c>
      <c r="B91" s="57">
        <f t="shared" si="23"/>
        <v>154</v>
      </c>
      <c r="C91" s="57">
        <f t="shared" si="23"/>
        <v>21</v>
      </c>
      <c r="D91" s="57">
        <f t="shared" si="23"/>
        <v>3</v>
      </c>
      <c r="E91" s="57">
        <f t="shared" si="23"/>
        <v>0</v>
      </c>
      <c r="F91" s="57">
        <f t="shared" si="23"/>
        <v>4</v>
      </c>
      <c r="G91" s="57">
        <f t="shared" si="23"/>
        <v>0</v>
      </c>
      <c r="H91" s="57">
        <f t="shared" si="23"/>
        <v>10</v>
      </c>
      <c r="I91" s="84">
        <f t="shared" si="12"/>
        <v>192</v>
      </c>
      <c r="J91" s="57">
        <f t="shared" si="24"/>
        <v>177</v>
      </c>
      <c r="K91" s="57">
        <f t="shared" si="24"/>
        <v>23</v>
      </c>
      <c r="L91" s="57">
        <f t="shared" si="24"/>
        <v>5</v>
      </c>
      <c r="M91" s="57">
        <f t="shared" si="24"/>
        <v>0</v>
      </c>
      <c r="N91" s="57">
        <f t="shared" si="24"/>
        <v>2</v>
      </c>
      <c r="O91" s="57">
        <f t="shared" si="24"/>
        <v>0</v>
      </c>
      <c r="P91" s="57">
        <f t="shared" si="24"/>
        <v>7</v>
      </c>
      <c r="Q91" s="58">
        <f t="shared" si="15"/>
        <v>214</v>
      </c>
      <c r="R91" s="57">
        <f t="shared" si="25"/>
        <v>331</v>
      </c>
      <c r="S91" s="57">
        <f t="shared" si="25"/>
        <v>44</v>
      </c>
      <c r="T91" s="57">
        <f t="shared" si="25"/>
        <v>8</v>
      </c>
      <c r="U91" s="57">
        <f t="shared" si="25"/>
        <v>0</v>
      </c>
      <c r="V91" s="57">
        <f t="shared" si="25"/>
        <v>6</v>
      </c>
      <c r="W91" s="57">
        <f t="shared" si="25"/>
        <v>0</v>
      </c>
      <c r="X91" s="57">
        <f t="shared" si="25"/>
        <v>17</v>
      </c>
      <c r="Y91" s="58">
        <f t="shared" si="16"/>
        <v>406</v>
      </c>
    </row>
    <row r="92" spans="1:25" ht="13.5" customHeight="1" x14ac:dyDescent="0.2">
      <c r="A92" s="59">
        <f t="shared" si="10"/>
        <v>0.64583333333333315</v>
      </c>
      <c r="B92" s="57">
        <f t="shared" si="23"/>
        <v>168</v>
      </c>
      <c r="C92" s="57">
        <f t="shared" si="23"/>
        <v>21</v>
      </c>
      <c r="D92" s="57">
        <f t="shared" si="23"/>
        <v>3</v>
      </c>
      <c r="E92" s="57">
        <f t="shared" si="23"/>
        <v>0</v>
      </c>
      <c r="F92" s="57">
        <f t="shared" si="23"/>
        <v>3</v>
      </c>
      <c r="G92" s="57">
        <f t="shared" si="23"/>
        <v>1</v>
      </c>
      <c r="H92" s="57">
        <f t="shared" si="23"/>
        <v>9</v>
      </c>
      <c r="I92" s="84">
        <f t="shared" si="12"/>
        <v>205</v>
      </c>
      <c r="J92" s="57">
        <f t="shared" si="24"/>
        <v>202</v>
      </c>
      <c r="K92" s="57">
        <f t="shared" si="24"/>
        <v>25</v>
      </c>
      <c r="L92" s="57">
        <f t="shared" si="24"/>
        <v>3</v>
      </c>
      <c r="M92" s="57">
        <f t="shared" si="24"/>
        <v>0</v>
      </c>
      <c r="N92" s="57">
        <f t="shared" si="24"/>
        <v>2</v>
      </c>
      <c r="O92" s="57">
        <f t="shared" si="24"/>
        <v>1</v>
      </c>
      <c r="P92" s="57">
        <f t="shared" si="24"/>
        <v>7</v>
      </c>
      <c r="Q92" s="58">
        <f t="shared" si="15"/>
        <v>240</v>
      </c>
      <c r="R92" s="57">
        <f t="shared" si="25"/>
        <v>370</v>
      </c>
      <c r="S92" s="57">
        <f t="shared" si="25"/>
        <v>46</v>
      </c>
      <c r="T92" s="57">
        <f t="shared" si="25"/>
        <v>6</v>
      </c>
      <c r="U92" s="57">
        <f t="shared" si="25"/>
        <v>0</v>
      </c>
      <c r="V92" s="57">
        <f t="shared" si="25"/>
        <v>5</v>
      </c>
      <c r="W92" s="57">
        <f t="shared" si="25"/>
        <v>2</v>
      </c>
      <c r="X92" s="57">
        <f t="shared" si="25"/>
        <v>16</v>
      </c>
      <c r="Y92" s="58">
        <f t="shared" si="16"/>
        <v>445</v>
      </c>
    </row>
    <row r="93" spans="1:25" ht="13.5" customHeight="1" x14ac:dyDescent="0.2">
      <c r="A93" s="60">
        <f t="shared" si="10"/>
        <v>0.65624999999999978</v>
      </c>
      <c r="B93" s="57">
        <f t="shared" si="23"/>
        <v>156</v>
      </c>
      <c r="C93" s="57">
        <f t="shared" si="23"/>
        <v>21</v>
      </c>
      <c r="D93" s="57">
        <f t="shared" si="23"/>
        <v>2</v>
      </c>
      <c r="E93" s="57">
        <f t="shared" si="23"/>
        <v>0</v>
      </c>
      <c r="F93" s="57">
        <f t="shared" si="23"/>
        <v>3</v>
      </c>
      <c r="G93" s="57">
        <f t="shared" si="23"/>
        <v>1</v>
      </c>
      <c r="H93" s="57">
        <f t="shared" si="23"/>
        <v>10</v>
      </c>
      <c r="I93" s="84">
        <f t="shared" si="12"/>
        <v>193</v>
      </c>
      <c r="J93" s="57">
        <f t="shared" si="24"/>
        <v>209</v>
      </c>
      <c r="K93" s="57">
        <f t="shared" si="24"/>
        <v>29</v>
      </c>
      <c r="L93" s="57">
        <f t="shared" si="24"/>
        <v>3</v>
      </c>
      <c r="M93" s="57">
        <f t="shared" si="24"/>
        <v>0</v>
      </c>
      <c r="N93" s="57">
        <f t="shared" si="24"/>
        <v>2</v>
      </c>
      <c r="O93" s="57">
        <f t="shared" si="24"/>
        <v>3</v>
      </c>
      <c r="P93" s="57">
        <f t="shared" si="24"/>
        <v>10</v>
      </c>
      <c r="Q93" s="58">
        <f t="shared" si="15"/>
        <v>256</v>
      </c>
      <c r="R93" s="57">
        <f t="shared" si="25"/>
        <v>365</v>
      </c>
      <c r="S93" s="57">
        <f t="shared" si="25"/>
        <v>50</v>
      </c>
      <c r="T93" s="57">
        <f t="shared" si="25"/>
        <v>5</v>
      </c>
      <c r="U93" s="57">
        <f t="shared" si="25"/>
        <v>0</v>
      </c>
      <c r="V93" s="57">
        <f t="shared" si="25"/>
        <v>5</v>
      </c>
      <c r="W93" s="57">
        <f t="shared" si="25"/>
        <v>4</v>
      </c>
      <c r="X93" s="57">
        <f t="shared" si="25"/>
        <v>20</v>
      </c>
      <c r="Y93" s="58">
        <f t="shared" si="16"/>
        <v>449</v>
      </c>
    </row>
    <row r="94" spans="1:25" ht="13.5" customHeight="1" x14ac:dyDescent="0.2">
      <c r="A94" s="59">
        <f t="shared" si="10"/>
        <v>0.66666666666666641</v>
      </c>
      <c r="B94" s="57">
        <f t="shared" si="23"/>
        <v>145</v>
      </c>
      <c r="C94" s="57">
        <f t="shared" si="23"/>
        <v>19</v>
      </c>
      <c r="D94" s="57">
        <f t="shared" si="23"/>
        <v>1</v>
      </c>
      <c r="E94" s="57">
        <f t="shared" si="23"/>
        <v>0</v>
      </c>
      <c r="F94" s="57">
        <f t="shared" si="23"/>
        <v>2</v>
      </c>
      <c r="G94" s="57">
        <f t="shared" si="23"/>
        <v>3</v>
      </c>
      <c r="H94" s="57">
        <f t="shared" si="23"/>
        <v>12</v>
      </c>
      <c r="I94" s="84">
        <f t="shared" si="12"/>
        <v>182</v>
      </c>
      <c r="J94" s="57">
        <f t="shared" si="24"/>
        <v>209</v>
      </c>
      <c r="K94" s="57">
        <f t="shared" si="24"/>
        <v>34</v>
      </c>
      <c r="L94" s="57">
        <f t="shared" si="24"/>
        <v>3</v>
      </c>
      <c r="M94" s="57">
        <f t="shared" si="24"/>
        <v>0</v>
      </c>
      <c r="N94" s="57">
        <f t="shared" si="24"/>
        <v>3</v>
      </c>
      <c r="O94" s="57">
        <f t="shared" si="24"/>
        <v>5</v>
      </c>
      <c r="P94" s="57">
        <f t="shared" si="24"/>
        <v>11</v>
      </c>
      <c r="Q94" s="58">
        <f t="shared" si="15"/>
        <v>265</v>
      </c>
      <c r="R94" s="57">
        <f t="shared" si="25"/>
        <v>354</v>
      </c>
      <c r="S94" s="57">
        <f t="shared" si="25"/>
        <v>53</v>
      </c>
      <c r="T94" s="57">
        <f t="shared" si="25"/>
        <v>4</v>
      </c>
      <c r="U94" s="57">
        <f t="shared" si="25"/>
        <v>0</v>
      </c>
      <c r="V94" s="57">
        <f t="shared" si="25"/>
        <v>5</v>
      </c>
      <c r="W94" s="57">
        <f t="shared" si="25"/>
        <v>8</v>
      </c>
      <c r="X94" s="57">
        <f t="shared" si="25"/>
        <v>23</v>
      </c>
      <c r="Y94" s="58">
        <f t="shared" si="16"/>
        <v>447</v>
      </c>
    </row>
    <row r="95" spans="1:25" ht="13.5" customHeight="1" x14ac:dyDescent="0.2">
      <c r="A95" s="59">
        <f t="shared" si="10"/>
        <v>0.67708333333333304</v>
      </c>
      <c r="B95" s="57">
        <f t="shared" si="23"/>
        <v>141</v>
      </c>
      <c r="C95" s="57">
        <f t="shared" si="23"/>
        <v>14</v>
      </c>
      <c r="D95" s="57">
        <f t="shared" si="23"/>
        <v>1</v>
      </c>
      <c r="E95" s="57">
        <f t="shared" si="23"/>
        <v>0</v>
      </c>
      <c r="F95" s="57">
        <f t="shared" si="23"/>
        <v>2</v>
      </c>
      <c r="G95" s="57">
        <f t="shared" si="23"/>
        <v>3</v>
      </c>
      <c r="H95" s="57">
        <f t="shared" si="23"/>
        <v>18</v>
      </c>
      <c r="I95" s="84">
        <f t="shared" si="12"/>
        <v>179</v>
      </c>
      <c r="J95" s="57">
        <f t="shared" si="24"/>
        <v>210</v>
      </c>
      <c r="K95" s="57">
        <f t="shared" si="24"/>
        <v>32</v>
      </c>
      <c r="L95" s="57">
        <f t="shared" si="24"/>
        <v>4</v>
      </c>
      <c r="M95" s="57">
        <f t="shared" si="24"/>
        <v>0</v>
      </c>
      <c r="N95" s="57">
        <f t="shared" si="24"/>
        <v>2</v>
      </c>
      <c r="O95" s="57">
        <f t="shared" si="24"/>
        <v>6</v>
      </c>
      <c r="P95" s="57">
        <f t="shared" si="24"/>
        <v>13</v>
      </c>
      <c r="Q95" s="58">
        <f t="shared" si="15"/>
        <v>267</v>
      </c>
      <c r="R95" s="57">
        <f t="shared" si="25"/>
        <v>351</v>
      </c>
      <c r="S95" s="57">
        <f t="shared" si="25"/>
        <v>46</v>
      </c>
      <c r="T95" s="57">
        <f t="shared" si="25"/>
        <v>5</v>
      </c>
      <c r="U95" s="57">
        <f t="shared" si="25"/>
        <v>0</v>
      </c>
      <c r="V95" s="57">
        <f t="shared" si="25"/>
        <v>4</v>
      </c>
      <c r="W95" s="57">
        <f t="shared" si="25"/>
        <v>9</v>
      </c>
      <c r="X95" s="57">
        <f t="shared" si="25"/>
        <v>31</v>
      </c>
      <c r="Y95" s="58">
        <f t="shared" si="16"/>
        <v>446</v>
      </c>
    </row>
    <row r="96" spans="1:25" ht="13.5" customHeight="1" x14ac:dyDescent="0.2">
      <c r="A96" s="60">
        <f t="shared" si="10"/>
        <v>0.68749999999999967</v>
      </c>
      <c r="B96" s="57">
        <f t="shared" si="23"/>
        <v>139</v>
      </c>
      <c r="C96" s="57">
        <f t="shared" si="23"/>
        <v>15</v>
      </c>
      <c r="D96" s="57">
        <f t="shared" si="23"/>
        <v>1</v>
      </c>
      <c r="E96" s="57">
        <f t="shared" si="23"/>
        <v>0</v>
      </c>
      <c r="F96" s="57">
        <f t="shared" si="23"/>
        <v>2</v>
      </c>
      <c r="G96" s="57">
        <f t="shared" si="23"/>
        <v>2</v>
      </c>
      <c r="H96" s="57">
        <f t="shared" si="23"/>
        <v>17</v>
      </c>
      <c r="I96" s="84">
        <f t="shared" si="12"/>
        <v>176</v>
      </c>
      <c r="J96" s="57">
        <f t="shared" si="24"/>
        <v>208</v>
      </c>
      <c r="K96" s="57">
        <f t="shared" si="24"/>
        <v>31</v>
      </c>
      <c r="L96" s="57">
        <f t="shared" si="24"/>
        <v>3</v>
      </c>
      <c r="M96" s="57">
        <f t="shared" si="24"/>
        <v>0</v>
      </c>
      <c r="N96" s="57">
        <f t="shared" si="24"/>
        <v>2</v>
      </c>
      <c r="O96" s="57">
        <f t="shared" si="24"/>
        <v>6</v>
      </c>
      <c r="P96" s="57">
        <f t="shared" si="24"/>
        <v>15</v>
      </c>
      <c r="Q96" s="58">
        <f t="shared" si="15"/>
        <v>265</v>
      </c>
      <c r="R96" s="57">
        <f t="shared" si="25"/>
        <v>347</v>
      </c>
      <c r="S96" s="57">
        <f t="shared" si="25"/>
        <v>46</v>
      </c>
      <c r="T96" s="57">
        <f t="shared" si="25"/>
        <v>4</v>
      </c>
      <c r="U96" s="57">
        <f t="shared" si="25"/>
        <v>0</v>
      </c>
      <c r="V96" s="57">
        <f t="shared" si="25"/>
        <v>4</v>
      </c>
      <c r="W96" s="57">
        <f t="shared" si="25"/>
        <v>8</v>
      </c>
      <c r="X96" s="57">
        <f t="shared" si="25"/>
        <v>32</v>
      </c>
      <c r="Y96" s="58">
        <f t="shared" si="16"/>
        <v>441</v>
      </c>
    </row>
    <row r="97" spans="1:25" ht="13.5" customHeight="1" x14ac:dyDescent="0.2">
      <c r="A97" s="59">
        <f t="shared" si="10"/>
        <v>0.6979166666666663</v>
      </c>
      <c r="B97" s="57">
        <f t="shared" si="23"/>
        <v>134</v>
      </c>
      <c r="C97" s="57">
        <f t="shared" si="23"/>
        <v>17</v>
      </c>
      <c r="D97" s="57">
        <f t="shared" si="23"/>
        <v>2</v>
      </c>
      <c r="E97" s="57">
        <f t="shared" si="23"/>
        <v>0</v>
      </c>
      <c r="F97" s="57">
        <f t="shared" si="23"/>
        <v>2</v>
      </c>
      <c r="G97" s="57">
        <f t="shared" si="23"/>
        <v>3</v>
      </c>
      <c r="H97" s="57">
        <f t="shared" si="23"/>
        <v>14</v>
      </c>
      <c r="I97" s="84">
        <f t="shared" si="12"/>
        <v>172</v>
      </c>
      <c r="J97" s="57">
        <f t="shared" si="24"/>
        <v>205</v>
      </c>
      <c r="K97" s="57">
        <f t="shared" si="24"/>
        <v>30</v>
      </c>
      <c r="L97" s="57">
        <f t="shared" si="24"/>
        <v>2</v>
      </c>
      <c r="M97" s="57">
        <f t="shared" si="24"/>
        <v>0</v>
      </c>
      <c r="N97" s="57">
        <f t="shared" si="24"/>
        <v>2</v>
      </c>
      <c r="O97" s="57">
        <f t="shared" si="24"/>
        <v>5</v>
      </c>
      <c r="P97" s="57">
        <f t="shared" si="24"/>
        <v>20</v>
      </c>
      <c r="Q97" s="58">
        <f t="shared" si="15"/>
        <v>264</v>
      </c>
      <c r="R97" s="57">
        <f t="shared" si="25"/>
        <v>339</v>
      </c>
      <c r="S97" s="57">
        <f t="shared" si="25"/>
        <v>47</v>
      </c>
      <c r="T97" s="57">
        <f t="shared" si="25"/>
        <v>4</v>
      </c>
      <c r="U97" s="57">
        <f t="shared" si="25"/>
        <v>0</v>
      </c>
      <c r="V97" s="57">
        <f t="shared" si="25"/>
        <v>4</v>
      </c>
      <c r="W97" s="57">
        <f t="shared" si="25"/>
        <v>8</v>
      </c>
      <c r="X97" s="57">
        <f t="shared" si="25"/>
        <v>34</v>
      </c>
      <c r="Y97" s="58">
        <f t="shared" si="16"/>
        <v>436</v>
      </c>
    </row>
    <row r="98" spans="1:25" ht="13.5" customHeight="1" x14ac:dyDescent="0.2">
      <c r="A98" s="59">
        <f t="shared" si="10"/>
        <v>0.70833333333333293</v>
      </c>
      <c r="B98" s="57">
        <f t="shared" ref="B98:H102" si="26">SUM(B49:B52)</f>
        <v>139</v>
      </c>
      <c r="C98" s="57">
        <f t="shared" si="26"/>
        <v>15</v>
      </c>
      <c r="D98" s="57">
        <f t="shared" si="26"/>
        <v>3</v>
      </c>
      <c r="E98" s="57">
        <f t="shared" si="26"/>
        <v>0</v>
      </c>
      <c r="F98" s="57">
        <f t="shared" si="26"/>
        <v>2</v>
      </c>
      <c r="G98" s="57">
        <f t="shared" si="26"/>
        <v>1</v>
      </c>
      <c r="H98" s="57">
        <f t="shared" si="26"/>
        <v>14</v>
      </c>
      <c r="I98" s="84">
        <f t="shared" si="12"/>
        <v>174</v>
      </c>
      <c r="J98" s="57">
        <f t="shared" ref="J98:P102" si="27">SUM(J49:J52)</f>
        <v>212</v>
      </c>
      <c r="K98" s="57">
        <f t="shared" si="27"/>
        <v>29</v>
      </c>
      <c r="L98" s="57">
        <f t="shared" si="27"/>
        <v>1</v>
      </c>
      <c r="M98" s="57">
        <f t="shared" si="27"/>
        <v>0</v>
      </c>
      <c r="N98" s="57">
        <f t="shared" si="27"/>
        <v>1</v>
      </c>
      <c r="O98" s="57">
        <f t="shared" si="27"/>
        <v>4</v>
      </c>
      <c r="P98" s="57">
        <f t="shared" si="27"/>
        <v>20</v>
      </c>
      <c r="Q98" s="58">
        <f t="shared" si="15"/>
        <v>267</v>
      </c>
      <c r="R98" s="57">
        <f t="shared" ref="R98:X102" si="28">SUM(R49:R52)</f>
        <v>351</v>
      </c>
      <c r="S98" s="57">
        <f t="shared" si="28"/>
        <v>44</v>
      </c>
      <c r="T98" s="57">
        <f t="shared" si="28"/>
        <v>4</v>
      </c>
      <c r="U98" s="57">
        <f t="shared" si="28"/>
        <v>0</v>
      </c>
      <c r="V98" s="57">
        <f t="shared" si="28"/>
        <v>3</v>
      </c>
      <c r="W98" s="57">
        <f t="shared" si="28"/>
        <v>5</v>
      </c>
      <c r="X98" s="57">
        <f t="shared" si="28"/>
        <v>34</v>
      </c>
      <c r="Y98" s="58">
        <f t="shared" si="16"/>
        <v>441</v>
      </c>
    </row>
    <row r="99" spans="1:25" ht="13.5" customHeight="1" x14ac:dyDescent="0.2">
      <c r="A99" s="60">
        <f t="shared" si="10"/>
        <v>0.71874999999999956</v>
      </c>
      <c r="B99" s="57">
        <f t="shared" si="26"/>
        <v>143</v>
      </c>
      <c r="C99" s="57">
        <f t="shared" si="26"/>
        <v>16</v>
      </c>
      <c r="D99" s="57">
        <f t="shared" si="26"/>
        <v>2</v>
      </c>
      <c r="E99" s="57">
        <f t="shared" si="26"/>
        <v>0</v>
      </c>
      <c r="F99" s="57">
        <f t="shared" si="26"/>
        <v>3</v>
      </c>
      <c r="G99" s="57">
        <f t="shared" si="26"/>
        <v>1</v>
      </c>
      <c r="H99" s="57">
        <f t="shared" si="26"/>
        <v>12</v>
      </c>
      <c r="I99" s="84">
        <f t="shared" si="12"/>
        <v>177</v>
      </c>
      <c r="J99" s="57">
        <f t="shared" si="27"/>
        <v>218</v>
      </c>
      <c r="K99" s="57">
        <f t="shared" si="27"/>
        <v>29</v>
      </c>
      <c r="L99" s="57">
        <f t="shared" si="27"/>
        <v>1</v>
      </c>
      <c r="M99" s="57">
        <f t="shared" si="27"/>
        <v>0</v>
      </c>
      <c r="N99" s="57">
        <f t="shared" si="27"/>
        <v>2</v>
      </c>
      <c r="O99" s="57">
        <f t="shared" si="27"/>
        <v>3</v>
      </c>
      <c r="P99" s="57">
        <f t="shared" si="27"/>
        <v>24</v>
      </c>
      <c r="Q99" s="58">
        <f t="shared" si="15"/>
        <v>277</v>
      </c>
      <c r="R99" s="57">
        <f t="shared" si="28"/>
        <v>361</v>
      </c>
      <c r="S99" s="57">
        <f t="shared" si="28"/>
        <v>45</v>
      </c>
      <c r="T99" s="57">
        <f t="shared" si="28"/>
        <v>3</v>
      </c>
      <c r="U99" s="57">
        <f t="shared" si="28"/>
        <v>0</v>
      </c>
      <c r="V99" s="57">
        <f t="shared" si="28"/>
        <v>5</v>
      </c>
      <c r="W99" s="57">
        <f t="shared" si="28"/>
        <v>4</v>
      </c>
      <c r="X99" s="57">
        <f t="shared" si="28"/>
        <v>36</v>
      </c>
      <c r="Y99" s="58">
        <f t="shared" si="16"/>
        <v>454</v>
      </c>
    </row>
    <row r="100" spans="1:25" ht="13.5" customHeight="1" x14ac:dyDescent="0.2">
      <c r="A100" s="59">
        <f t="shared" si="10"/>
        <v>0.72916666666666619</v>
      </c>
      <c r="B100" s="57">
        <f t="shared" si="26"/>
        <v>135</v>
      </c>
      <c r="C100" s="57">
        <f t="shared" si="26"/>
        <v>12</v>
      </c>
      <c r="D100" s="57">
        <f t="shared" si="26"/>
        <v>3</v>
      </c>
      <c r="E100" s="57">
        <f t="shared" si="26"/>
        <v>0</v>
      </c>
      <c r="F100" s="57">
        <f t="shared" si="26"/>
        <v>2</v>
      </c>
      <c r="G100" s="57">
        <f t="shared" si="26"/>
        <v>1</v>
      </c>
      <c r="H100" s="57">
        <f t="shared" si="26"/>
        <v>17</v>
      </c>
      <c r="I100" s="84">
        <f t="shared" si="12"/>
        <v>170</v>
      </c>
      <c r="J100" s="57">
        <f t="shared" si="27"/>
        <v>204</v>
      </c>
      <c r="K100" s="57">
        <f t="shared" si="27"/>
        <v>25</v>
      </c>
      <c r="L100" s="57">
        <f t="shared" si="27"/>
        <v>3</v>
      </c>
      <c r="M100" s="57">
        <f t="shared" si="27"/>
        <v>0</v>
      </c>
      <c r="N100" s="57">
        <f t="shared" si="27"/>
        <v>2</v>
      </c>
      <c r="O100" s="57">
        <f t="shared" si="27"/>
        <v>2</v>
      </c>
      <c r="P100" s="57">
        <f t="shared" si="27"/>
        <v>23</v>
      </c>
      <c r="Q100" s="58">
        <f t="shared" si="15"/>
        <v>259</v>
      </c>
      <c r="R100" s="57">
        <f t="shared" si="28"/>
        <v>339</v>
      </c>
      <c r="S100" s="57">
        <f t="shared" si="28"/>
        <v>37</v>
      </c>
      <c r="T100" s="57">
        <f t="shared" si="28"/>
        <v>6</v>
      </c>
      <c r="U100" s="57">
        <f t="shared" si="28"/>
        <v>0</v>
      </c>
      <c r="V100" s="57">
        <f t="shared" si="28"/>
        <v>4</v>
      </c>
      <c r="W100" s="57">
        <f t="shared" si="28"/>
        <v>3</v>
      </c>
      <c r="X100" s="57">
        <f t="shared" si="28"/>
        <v>40</v>
      </c>
      <c r="Y100" s="58">
        <f t="shared" si="16"/>
        <v>429</v>
      </c>
    </row>
    <row r="101" spans="1:25" ht="13.5" customHeight="1" x14ac:dyDescent="0.2">
      <c r="A101" s="59">
        <f t="shared" si="10"/>
        <v>0.73958333333333282</v>
      </c>
      <c r="B101" s="57">
        <f t="shared" si="26"/>
        <v>138</v>
      </c>
      <c r="C101" s="57">
        <f t="shared" si="26"/>
        <v>12</v>
      </c>
      <c r="D101" s="57">
        <f t="shared" si="26"/>
        <v>3</v>
      </c>
      <c r="E101" s="57">
        <f t="shared" si="26"/>
        <v>0</v>
      </c>
      <c r="F101" s="57">
        <f t="shared" si="26"/>
        <v>2</v>
      </c>
      <c r="G101" s="57">
        <f t="shared" si="26"/>
        <v>0</v>
      </c>
      <c r="H101" s="57">
        <f t="shared" si="26"/>
        <v>20</v>
      </c>
      <c r="I101" s="84">
        <f t="shared" si="12"/>
        <v>175</v>
      </c>
      <c r="J101" s="57">
        <f t="shared" si="27"/>
        <v>201</v>
      </c>
      <c r="K101" s="57">
        <f t="shared" si="27"/>
        <v>20</v>
      </c>
      <c r="L101" s="57">
        <f t="shared" si="27"/>
        <v>3</v>
      </c>
      <c r="M101" s="57">
        <f t="shared" si="27"/>
        <v>0</v>
      </c>
      <c r="N101" s="57">
        <f t="shared" si="27"/>
        <v>3</v>
      </c>
      <c r="O101" s="57">
        <f t="shared" si="27"/>
        <v>1</v>
      </c>
      <c r="P101" s="57">
        <f t="shared" si="27"/>
        <v>25</v>
      </c>
      <c r="Q101" s="58">
        <f t="shared" si="15"/>
        <v>253</v>
      </c>
      <c r="R101" s="57">
        <f t="shared" si="28"/>
        <v>339</v>
      </c>
      <c r="S101" s="57">
        <f t="shared" si="28"/>
        <v>32</v>
      </c>
      <c r="T101" s="57">
        <f t="shared" si="28"/>
        <v>6</v>
      </c>
      <c r="U101" s="57">
        <f t="shared" si="28"/>
        <v>0</v>
      </c>
      <c r="V101" s="57">
        <f t="shared" si="28"/>
        <v>5</v>
      </c>
      <c r="W101" s="57">
        <f t="shared" si="28"/>
        <v>1</v>
      </c>
      <c r="X101" s="57">
        <f t="shared" si="28"/>
        <v>45</v>
      </c>
      <c r="Y101" s="58">
        <f t="shared" si="16"/>
        <v>428</v>
      </c>
    </row>
    <row r="102" spans="1:25" ht="13.5" customHeight="1" thickBot="1" x14ac:dyDescent="0.25">
      <c r="A102" s="219">
        <f t="shared" si="10"/>
        <v>0.74999999999999944</v>
      </c>
      <c r="B102" s="62">
        <f t="shared" si="26"/>
        <v>129</v>
      </c>
      <c r="C102" s="62">
        <f t="shared" si="26"/>
        <v>10</v>
      </c>
      <c r="D102" s="62">
        <f t="shared" si="26"/>
        <v>2</v>
      </c>
      <c r="E102" s="62">
        <f t="shared" si="26"/>
        <v>0</v>
      </c>
      <c r="F102" s="62">
        <f t="shared" si="26"/>
        <v>2</v>
      </c>
      <c r="G102" s="62">
        <f t="shared" si="26"/>
        <v>0</v>
      </c>
      <c r="H102" s="62">
        <f t="shared" si="26"/>
        <v>24</v>
      </c>
      <c r="I102" s="123">
        <f t="shared" ref="I102" si="29">SUM(B102:H102)</f>
        <v>167</v>
      </c>
      <c r="J102" s="62">
        <f t="shared" si="27"/>
        <v>195</v>
      </c>
      <c r="K102" s="62">
        <f t="shared" si="27"/>
        <v>15</v>
      </c>
      <c r="L102" s="62">
        <f t="shared" si="27"/>
        <v>3</v>
      </c>
      <c r="M102" s="62">
        <f t="shared" si="27"/>
        <v>0</v>
      </c>
      <c r="N102" s="62">
        <f t="shared" si="27"/>
        <v>3</v>
      </c>
      <c r="O102" s="62">
        <f t="shared" si="27"/>
        <v>0</v>
      </c>
      <c r="P102" s="62">
        <f t="shared" si="27"/>
        <v>25</v>
      </c>
      <c r="Q102" s="63">
        <f t="shared" ref="Q102" si="30">SUM(J102:P102)</f>
        <v>241</v>
      </c>
      <c r="R102" s="62">
        <f t="shared" si="28"/>
        <v>324</v>
      </c>
      <c r="S102" s="62">
        <f t="shared" si="28"/>
        <v>25</v>
      </c>
      <c r="T102" s="62">
        <f t="shared" si="28"/>
        <v>5</v>
      </c>
      <c r="U102" s="62">
        <f t="shared" si="28"/>
        <v>0</v>
      </c>
      <c r="V102" s="62">
        <f t="shared" si="28"/>
        <v>5</v>
      </c>
      <c r="W102" s="62">
        <f t="shared" si="28"/>
        <v>0</v>
      </c>
      <c r="X102" s="62">
        <f t="shared" si="28"/>
        <v>49</v>
      </c>
      <c r="Y102" s="63">
        <f t="shared" si="16"/>
        <v>408</v>
      </c>
    </row>
    <row r="103" spans="1:25" ht="13.5" customHeight="1" thickTop="1" x14ac:dyDescent="0.2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</row>
  </sheetData>
  <sheetProtection selectLockedCells="1"/>
  <mergeCells count="6">
    <mergeCell ref="B7:I7"/>
    <mergeCell ref="J7:Q7"/>
    <mergeCell ref="R7:Y7"/>
    <mergeCell ref="B57:H57"/>
    <mergeCell ref="J57:P57"/>
    <mergeCell ref="R57:X5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5" fitToWidth="6" fitToHeight="4" orientation="landscape" r:id="rId1"/>
  <headerFooter>
    <oddFooter>&amp;L&amp;"Tahoma,Bold"www.intelligent-data-collection.com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view="pageBreakPreview" zoomScale="80" zoomScaleNormal="100" zoomScaleSheetLayoutView="80" workbookViewId="0"/>
  </sheetViews>
  <sheetFormatPr defaultRowHeight="12.75" x14ac:dyDescent="0.2"/>
  <cols>
    <col min="1" max="1" width="19.140625" customWidth="1"/>
    <col min="2" max="2" width="9" customWidth="1"/>
    <col min="8" max="8" width="9.140625" style="17" customWidth="1"/>
    <col min="9" max="13" width="9.140625" style="17"/>
    <col min="14" max="15" width="7.140625" style="17" customWidth="1"/>
    <col min="16" max="16" width="7.7109375" style="17" customWidth="1"/>
    <col min="17" max="21" width="7.140625" style="17" customWidth="1"/>
    <col min="22" max="16384" width="9.140625" style="17"/>
  </cols>
  <sheetData>
    <row r="1" spans="1:21" s="15" customFormat="1" ht="25.5" x14ac:dyDescent="0.2">
      <c r="A1" s="1" t="s">
        <v>7</v>
      </c>
      <c r="B1" s="2"/>
      <c r="C1" s="2"/>
      <c r="D1" s="2"/>
      <c r="E1" s="2"/>
      <c r="F1" s="2"/>
      <c r="G1" s="2"/>
    </row>
    <row r="2" spans="1:21" s="15" customFormat="1" ht="12.75" customHeight="1" x14ac:dyDescent="0.2">
      <c r="A2" s="4"/>
      <c r="B2" s="3"/>
      <c r="C2" s="3"/>
      <c r="D2" s="3"/>
      <c r="E2" s="3"/>
      <c r="F2" s="3"/>
      <c r="G2" s="3"/>
      <c r="H2" s="16"/>
      <c r="I2" s="16"/>
      <c r="J2" s="16"/>
      <c r="K2" s="16"/>
      <c r="L2" s="16"/>
      <c r="M2" s="16"/>
    </row>
    <row r="3" spans="1:21" s="15" customFormat="1" ht="12.75" customHeight="1" x14ac:dyDescent="0.2">
      <c r="A3" s="125" t="str">
        <f>'Internal Control-Check Sheet'!$E$3</f>
        <v>Client:</v>
      </c>
      <c r="B3" s="51" t="str">
        <f>'Internal Control-Check Sheet'!G3</f>
        <v>Bristol City Council</v>
      </c>
      <c r="C3" s="16"/>
      <c r="D3" s="51"/>
      <c r="E3" s="51"/>
      <c r="F3" s="125" t="str">
        <f>'Internal Control-Check Sheet'!$J$3</f>
        <v>Date of Survey:</v>
      </c>
      <c r="G3" s="16"/>
      <c r="H3" s="53" t="str">
        <f>'Internal Control-Check Sheet'!L3</f>
        <v>09.07.2015</v>
      </c>
      <c r="I3" s="16"/>
      <c r="J3" s="16"/>
      <c r="K3" s="16"/>
      <c r="L3" s="16"/>
      <c r="M3" s="16"/>
    </row>
    <row r="4" spans="1:21" s="15" customFormat="1" ht="12.75" customHeight="1" x14ac:dyDescent="0.2">
      <c r="A4" s="125" t="str">
        <f>'Internal Control-Check Sheet'!$E$4</f>
        <v>Project Number:</v>
      </c>
      <c r="B4" s="51" t="str">
        <f>'Internal Control-Check Sheet'!G4</f>
        <v>ID02343</v>
      </c>
      <c r="C4" s="16"/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Robertson Road</v>
      </c>
      <c r="I4" s="16"/>
      <c r="J4" s="16"/>
      <c r="K4" s="16"/>
      <c r="L4" s="16"/>
      <c r="M4" s="16"/>
    </row>
    <row r="5" spans="1:21" s="15" customFormat="1" ht="12.75" customHeight="1" x14ac:dyDescent="0.2">
      <c r="A5" s="125" t="str">
        <f>'Internal Control-Check Sheet'!$E$5</f>
        <v>Site Number:</v>
      </c>
      <c r="B5" s="51" t="str">
        <f>'Internal Control-Check Sheet'!G5</f>
        <v>ANPR Site 18</v>
      </c>
      <c r="C5" s="16"/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1" s="15" customFormat="1" ht="12.75" customHeight="1" x14ac:dyDescent="0.2">
      <c r="A6" s="16"/>
      <c r="B6" s="16"/>
      <c r="C6" s="16"/>
      <c r="D6" s="3"/>
      <c r="E6" s="3"/>
      <c r="F6" s="3"/>
      <c r="G6" s="16"/>
      <c r="H6" s="54"/>
      <c r="I6" s="52"/>
      <c r="J6" s="126"/>
      <c r="K6" s="52"/>
      <c r="L6" s="16"/>
      <c r="M6" s="16"/>
      <c r="N6" s="134"/>
      <c r="O6" s="136" t="s">
        <v>60</v>
      </c>
      <c r="P6" s="134"/>
      <c r="Q6" s="134"/>
      <c r="R6" s="134"/>
      <c r="S6" s="134"/>
      <c r="T6" s="135"/>
    </row>
    <row r="7" spans="1:21" s="15" customFormat="1" ht="12.75" customHeight="1" x14ac:dyDescent="0.2">
      <c r="A7" s="16"/>
      <c r="B7" s="127" t="s">
        <v>48</v>
      </c>
      <c r="C7" s="51" t="str">
        <f>'Internal Control-Check Sheet'!F9</f>
        <v>Robertson Road (S)</v>
      </c>
      <c r="D7" s="3"/>
      <c r="E7" s="3"/>
      <c r="F7" s="127" t="s">
        <v>49</v>
      </c>
      <c r="G7" s="51" t="str">
        <f>'Internal Control-Check Sheet'!F10</f>
        <v>Robertson Road (N)</v>
      </c>
      <c r="I7" s="52"/>
      <c r="J7" s="127"/>
      <c r="K7" s="18"/>
      <c r="M7" s="16"/>
      <c r="N7" s="134"/>
      <c r="O7" s="136" t="s">
        <v>61</v>
      </c>
      <c r="P7" s="134"/>
      <c r="Q7" s="134"/>
      <c r="R7" s="134"/>
      <c r="S7" s="134"/>
      <c r="T7" s="135"/>
    </row>
    <row r="8" spans="1:21" s="15" customFormat="1" ht="12.75" customHeight="1" thickBot="1" x14ac:dyDescent="0.25">
      <c r="A8" s="4"/>
      <c r="B8" s="5"/>
      <c r="C8" s="5"/>
      <c r="D8" s="3"/>
      <c r="E8" s="3"/>
      <c r="F8" s="3"/>
      <c r="G8" s="3"/>
      <c r="H8" s="16"/>
      <c r="I8" s="16"/>
      <c r="J8" s="16"/>
      <c r="K8" s="16"/>
      <c r="L8" s="16"/>
      <c r="M8" s="16"/>
      <c r="N8" s="134"/>
      <c r="O8" s="136" t="s">
        <v>62</v>
      </c>
      <c r="P8" s="134"/>
      <c r="Q8" s="134"/>
      <c r="R8" s="134"/>
      <c r="S8" s="134"/>
      <c r="T8" s="134"/>
    </row>
    <row r="9" spans="1:21" s="16" customFormat="1" ht="12.75" customHeight="1" thickTop="1" thickBot="1" x14ac:dyDescent="0.25">
      <c r="A9" s="3"/>
      <c r="B9" s="346" t="s">
        <v>106</v>
      </c>
      <c r="C9" s="347"/>
      <c r="D9" s="127"/>
      <c r="E9" s="127"/>
      <c r="F9" s="127"/>
      <c r="G9" s="127"/>
      <c r="H9" s="127"/>
      <c r="I9" s="127"/>
      <c r="J9" s="127"/>
      <c r="K9" s="127"/>
      <c r="L9" s="127"/>
    </row>
    <row r="10" spans="1:21" s="16" customFormat="1" ht="12.75" customHeight="1" thickTop="1" thickBot="1" x14ac:dyDescent="0.25">
      <c r="A10" s="124" t="s">
        <v>0</v>
      </c>
      <c r="B10" s="154" t="s">
        <v>45</v>
      </c>
      <c r="C10" s="155" t="s">
        <v>46</v>
      </c>
      <c r="D10" s="127"/>
      <c r="E10" s="127"/>
      <c r="F10" s="127"/>
      <c r="G10" s="127"/>
      <c r="H10" s="127"/>
      <c r="I10" s="127"/>
      <c r="J10" s="127"/>
      <c r="K10" s="127"/>
      <c r="L10" s="127"/>
      <c r="N10" s="19" t="s">
        <v>63</v>
      </c>
      <c r="P10" s="16" t="s">
        <v>60</v>
      </c>
      <c r="Q10" s="201" t="s">
        <v>92</v>
      </c>
    </row>
    <row r="11" spans="1:21" s="16" customFormat="1" ht="12.75" customHeight="1" thickTop="1" x14ac:dyDescent="0.2">
      <c r="A11" s="32">
        <f>'MCC Data'!A9</f>
        <v>0.29166666666666669</v>
      </c>
      <c r="B11" s="31">
        <f>('MCC Data'!$B9*'PCU Data'!$N$14)+('MCC Data'!$C9*'PCU Data'!$O$14)+('MCC Data'!$D9*'PCU Data'!$P$14)+('PCU Data'!$Q$14*'MCC Data'!$E9)+('MCC Data'!$F9*'PCU Data'!$R$14)+('MCC Data'!$G9*'PCU Data'!$S$14)+('MCC Data'!$H9*$T$14)</f>
        <v>25.2</v>
      </c>
      <c r="C11" s="31">
        <f>('MCC Data'!$J9*'PCU Data'!$N$14)+('MCC Data'!$K9*'PCU Data'!$O$14)+('MCC Data'!$L9*'PCU Data'!$P$14)+('PCU Data'!$Q$14*'MCC Data'!$M9)+('MCC Data'!$N9*'PCU Data'!$R$14)+('MCC Data'!$O9*'PCU Data'!$S$14)+('MCC Data'!$P9*$T$14)</f>
        <v>11.4</v>
      </c>
      <c r="D11" s="127"/>
      <c r="E11" s="127"/>
      <c r="F11" s="127"/>
      <c r="G11" s="127"/>
      <c r="H11" s="127"/>
      <c r="I11" s="127"/>
      <c r="J11" s="127"/>
      <c r="K11" s="127"/>
      <c r="L11" s="127"/>
    </row>
    <row r="12" spans="1:21" s="16" customFormat="1" ht="12.75" customHeight="1" x14ac:dyDescent="0.2">
      <c r="A12" s="7">
        <f>'MCC Data'!A10</f>
        <v>0.30208333333333337</v>
      </c>
      <c r="B12" s="31">
        <f>('MCC Data'!$B10*'PCU Data'!$N$14)+('MCC Data'!$C10*'PCU Data'!$O$14)+('MCC Data'!$D10*'PCU Data'!$P$14)+('PCU Data'!$Q$14*'MCC Data'!$E10)+('MCC Data'!$F10*'PCU Data'!$R$14)+('MCC Data'!$G10*'PCU Data'!$S$14)+('MCC Data'!$H10*$T$14)</f>
        <v>46</v>
      </c>
      <c r="C12" s="31">
        <f>('MCC Data'!$J10*'PCU Data'!$N$14)+('MCC Data'!$K10*'PCU Data'!$O$14)+('MCC Data'!$L10*'PCU Data'!$P$14)+('PCU Data'!$Q$14*'MCC Data'!$M10)+('MCC Data'!$N10*'PCU Data'!$R$14)+('MCC Data'!$O10*'PCU Data'!$S$14)+('MCC Data'!$P10*$T$14)</f>
        <v>11.2</v>
      </c>
      <c r="D12" s="127"/>
      <c r="E12" s="127"/>
      <c r="F12" s="127"/>
      <c r="G12" s="127"/>
      <c r="H12" s="127"/>
      <c r="I12" s="127"/>
      <c r="J12" s="127"/>
      <c r="K12" s="127"/>
      <c r="L12" s="127"/>
      <c r="N12" s="19" t="s">
        <v>16</v>
      </c>
    </row>
    <row r="13" spans="1:21" s="16" customFormat="1" ht="12.75" customHeight="1" x14ac:dyDescent="0.2">
      <c r="A13" s="6">
        <f>'MCC Data'!A11</f>
        <v>0.31250000000000006</v>
      </c>
      <c r="B13" s="31">
        <f>('MCC Data'!$B11*'PCU Data'!$N$14)+('MCC Data'!$C11*'PCU Data'!$O$14)+('MCC Data'!$D11*'PCU Data'!$P$14)+('PCU Data'!$Q$14*'MCC Data'!$E11)+('MCC Data'!$F11*'PCU Data'!$R$14)+('MCC Data'!$G11*'PCU Data'!$S$14)+('MCC Data'!$H11*$T$14)</f>
        <v>47.4</v>
      </c>
      <c r="C13" s="31">
        <f>('MCC Data'!$J11*'PCU Data'!$N$14)+('MCC Data'!$K11*'PCU Data'!$O$14)+('MCC Data'!$L11*'PCU Data'!$P$14)+('PCU Data'!$Q$14*'MCC Data'!$M11)+('MCC Data'!$N11*'PCU Data'!$R$14)+('MCC Data'!$O11*'PCU Data'!$S$14)+('MCC Data'!$P11*$T$14)</f>
        <v>22.099999999999998</v>
      </c>
      <c r="D13" s="127"/>
      <c r="E13" s="127"/>
      <c r="F13" s="127"/>
      <c r="G13" s="127"/>
      <c r="H13" s="127"/>
      <c r="I13" s="127"/>
      <c r="J13" s="127"/>
      <c r="K13" s="127"/>
      <c r="L13" s="127"/>
      <c r="N13" s="16" t="s">
        <v>17</v>
      </c>
      <c r="O13" s="16" t="s">
        <v>12</v>
      </c>
      <c r="P13" s="16" t="s">
        <v>10</v>
      </c>
      <c r="Q13" s="16" t="s">
        <v>11</v>
      </c>
      <c r="R13" s="16" t="s">
        <v>18</v>
      </c>
      <c r="S13" s="16" t="s">
        <v>9</v>
      </c>
      <c r="T13" s="16" t="s">
        <v>34</v>
      </c>
    </row>
    <row r="14" spans="1:21" s="16" customFormat="1" ht="12.75" customHeight="1" x14ac:dyDescent="0.2">
      <c r="A14" s="7">
        <f>'MCC Data'!A12</f>
        <v>0.32291666666666674</v>
      </c>
      <c r="B14" s="31">
        <f>('MCC Data'!$B12*'PCU Data'!$N$14)+('MCC Data'!$C12*'PCU Data'!$O$14)+('MCC Data'!$D12*'PCU Data'!$P$14)+('PCU Data'!$Q$14*'MCC Data'!$E12)+('MCC Data'!$F12*'PCU Data'!$R$14)+('MCC Data'!$G12*'PCU Data'!$S$14)+('MCC Data'!$H12*$T$14)</f>
        <v>48.3</v>
      </c>
      <c r="C14" s="31">
        <f>('MCC Data'!$J12*'PCU Data'!$N$14)+('MCC Data'!$K12*'PCU Data'!$O$14)+('MCC Data'!$L12*'PCU Data'!$P$14)+('PCU Data'!$Q$14*'MCC Data'!$M12)+('MCC Data'!$N12*'PCU Data'!$R$14)+('MCC Data'!$O12*'PCU Data'!$S$14)+('MCC Data'!$P12*$T$14)</f>
        <v>15.7</v>
      </c>
      <c r="D14" s="127"/>
      <c r="E14" s="127"/>
      <c r="F14" s="127"/>
      <c r="G14" s="127"/>
      <c r="H14" s="127"/>
      <c r="I14" s="127"/>
      <c r="J14" s="127"/>
      <c r="K14" s="127"/>
      <c r="L14" s="127"/>
      <c r="N14" s="134">
        <f>'Internal Control-Check Sheet'!G41</f>
        <v>1</v>
      </c>
      <c r="O14" s="134">
        <f>'Internal Control-Check Sheet'!H41</f>
        <v>1</v>
      </c>
      <c r="P14" s="134">
        <f>'Internal Control-Check Sheet'!I41</f>
        <v>1.9</v>
      </c>
      <c r="Q14" s="134">
        <f>'Internal Control-Check Sheet'!J41</f>
        <v>2.9</v>
      </c>
      <c r="R14" s="134">
        <f>'Internal Control-Check Sheet'!K41</f>
        <v>2.5</v>
      </c>
      <c r="S14" s="134">
        <f>'Internal Control-Check Sheet'!L41</f>
        <v>0.4</v>
      </c>
      <c r="T14" s="134">
        <f>'Internal Control-Check Sheet'!M41</f>
        <v>0.2</v>
      </c>
      <c r="U14" s="18" t="str">
        <f>IF(SUM(B11:C58)-SUM('MCC Data'!Y9:Y56)=0,"VEHICLE TOTAL CORRECT","")</f>
        <v/>
      </c>
    </row>
    <row r="15" spans="1:21" s="16" customFormat="1" ht="12.75" customHeight="1" x14ac:dyDescent="0.2">
      <c r="A15" s="6">
        <f>'MCC Data'!A13</f>
        <v>0.33333333333333343</v>
      </c>
      <c r="B15" s="31">
        <f>('MCC Data'!$B13*'PCU Data'!$N$14)+('MCC Data'!$C13*'PCU Data'!$O$14)+('MCC Data'!$D13*'PCU Data'!$P$14)+('PCU Data'!$Q$14*'MCC Data'!$E13)+('MCC Data'!$F13*'PCU Data'!$R$14)+('MCC Data'!$G13*'PCU Data'!$S$14)+('MCC Data'!$H13*$T$14)</f>
        <v>67.600000000000009</v>
      </c>
      <c r="C15" s="31">
        <f>('MCC Data'!$J13*'PCU Data'!$N$14)+('MCC Data'!$K13*'PCU Data'!$O$14)+('MCC Data'!$L13*'PCU Data'!$P$14)+('PCU Data'!$Q$14*'MCC Data'!$M13)+('MCC Data'!$N13*'PCU Data'!$R$14)+('MCC Data'!$O13*'PCU Data'!$S$14)+('MCC Data'!$P13*$T$14)</f>
        <v>20</v>
      </c>
      <c r="D15" s="127"/>
      <c r="E15" s="127"/>
      <c r="F15" s="127"/>
      <c r="G15" s="127"/>
      <c r="H15" s="127"/>
      <c r="I15" s="127"/>
      <c r="J15" s="127"/>
      <c r="K15" s="127"/>
      <c r="L15" s="127"/>
    </row>
    <row r="16" spans="1:21" s="16" customFormat="1" ht="12.75" customHeight="1" x14ac:dyDescent="0.2">
      <c r="A16" s="6">
        <f>'MCC Data'!A14</f>
        <v>0.34375000000000011</v>
      </c>
      <c r="B16" s="31">
        <f>('MCC Data'!$B14*'PCU Data'!$N$14)+('MCC Data'!$C14*'PCU Data'!$O$14)+('MCC Data'!$D14*'PCU Data'!$P$14)+('PCU Data'!$Q$14*'MCC Data'!$E14)+('MCC Data'!$F14*'PCU Data'!$R$14)+('MCC Data'!$G14*'PCU Data'!$S$14)+('MCC Data'!$H14*$T$14)</f>
        <v>60.2</v>
      </c>
      <c r="C16" s="31">
        <f>('MCC Data'!$J14*'PCU Data'!$N$14)+('MCC Data'!$K14*'PCU Data'!$O$14)+('MCC Data'!$L14*'PCU Data'!$P$14)+('PCU Data'!$Q$14*'MCC Data'!$M14)+('MCC Data'!$N14*'PCU Data'!$R$14)+('MCC Data'!$O14*'PCU Data'!$S$14)+('MCC Data'!$P14*$T$14)</f>
        <v>30.799999999999997</v>
      </c>
      <c r="D16" s="127"/>
      <c r="E16" s="127"/>
      <c r="F16" s="127"/>
      <c r="G16" s="127"/>
      <c r="H16" s="127"/>
      <c r="I16" s="127"/>
      <c r="J16" s="127"/>
      <c r="K16" s="127"/>
      <c r="L16" s="127"/>
      <c r="N16" s="19" t="s">
        <v>19</v>
      </c>
    </row>
    <row r="17" spans="1:14" s="16" customFormat="1" ht="12.75" customHeight="1" x14ac:dyDescent="0.2">
      <c r="A17" s="6">
        <f>'MCC Data'!A15</f>
        <v>0.3541666666666668</v>
      </c>
      <c r="B17" s="31">
        <f>('MCC Data'!$B15*'PCU Data'!$N$14)+('MCC Data'!$C15*'PCU Data'!$O$14)+('MCC Data'!$D15*'PCU Data'!$P$14)+('PCU Data'!$Q$14*'MCC Data'!$E15)+('MCC Data'!$F15*'PCU Data'!$R$14)+('MCC Data'!$G15*'PCU Data'!$S$14)+('MCC Data'!$H15*$T$14)</f>
        <v>54.8</v>
      </c>
      <c r="C17" s="31">
        <f>('MCC Data'!$J15*'PCU Data'!$N$14)+('MCC Data'!$K15*'PCU Data'!$O$14)+('MCC Data'!$L15*'PCU Data'!$P$14)+('PCU Data'!$Q$14*'MCC Data'!$M15)+('MCC Data'!$N15*'PCU Data'!$R$14)+('MCC Data'!$O15*'PCU Data'!$S$14)+('MCC Data'!$P15*$T$14)</f>
        <v>31.6</v>
      </c>
      <c r="D17" s="127"/>
      <c r="E17" s="127"/>
      <c r="F17" s="127"/>
      <c r="G17" s="127"/>
      <c r="H17" s="127"/>
      <c r="I17" s="127"/>
      <c r="J17" s="127"/>
      <c r="K17" s="127"/>
      <c r="L17" s="127"/>
      <c r="N17" s="18" t="s">
        <v>83</v>
      </c>
    </row>
    <row r="18" spans="1:14" s="16" customFormat="1" ht="12.75" customHeight="1" x14ac:dyDescent="0.2">
      <c r="A18" s="6">
        <f>'MCC Data'!A16</f>
        <v>0.36458333333333348</v>
      </c>
      <c r="B18" s="31">
        <f>('MCC Data'!$B16*'PCU Data'!$N$14)+('MCC Data'!$C16*'PCU Data'!$O$14)+('MCC Data'!$D16*'PCU Data'!$P$14)+('PCU Data'!$Q$14*'MCC Data'!$E16)+('MCC Data'!$F16*'PCU Data'!$R$14)+('MCC Data'!$G16*'PCU Data'!$S$14)+('MCC Data'!$H16*$T$14)</f>
        <v>43.6</v>
      </c>
      <c r="C18" s="31">
        <f>('MCC Data'!$J16*'PCU Data'!$N$14)+('MCC Data'!$K16*'PCU Data'!$O$14)+('MCC Data'!$L16*'PCU Data'!$P$14)+('PCU Data'!$Q$14*'MCC Data'!$M16)+('MCC Data'!$N16*'PCU Data'!$R$14)+('MCC Data'!$O16*'PCU Data'!$S$14)+('MCC Data'!$P16*$T$14)</f>
        <v>29.599999999999998</v>
      </c>
      <c r="D18" s="127"/>
      <c r="E18" s="127"/>
      <c r="F18" s="127"/>
      <c r="G18" s="127"/>
      <c r="H18" s="127"/>
      <c r="I18" s="127"/>
      <c r="J18" s="127"/>
      <c r="K18" s="127"/>
      <c r="L18" s="127"/>
      <c r="N18" s="18" t="s">
        <v>84</v>
      </c>
    </row>
    <row r="19" spans="1:14" s="16" customFormat="1" ht="12.75" customHeight="1" x14ac:dyDescent="0.2">
      <c r="A19" s="6">
        <f>'MCC Data'!A17</f>
        <v>0.37500000000000017</v>
      </c>
      <c r="B19" s="31">
        <f>('MCC Data'!$B17*'PCU Data'!$N$14)+('MCC Data'!$C17*'PCU Data'!$O$14)+('MCC Data'!$D17*'PCU Data'!$P$14)+('PCU Data'!$Q$14*'MCC Data'!$E17)+('MCC Data'!$F17*'PCU Data'!$R$14)+('MCC Data'!$G17*'PCU Data'!$S$14)+('MCC Data'!$H17*$T$14)</f>
        <v>51.1</v>
      </c>
      <c r="C19" s="31">
        <f>('MCC Data'!$J17*'PCU Data'!$N$14)+('MCC Data'!$K17*'PCU Data'!$O$14)+('MCC Data'!$L17*'PCU Data'!$P$14)+('PCU Data'!$Q$14*'MCC Data'!$M17)+('MCC Data'!$N17*'PCU Data'!$R$14)+('MCC Data'!$O17*'PCU Data'!$S$14)+('MCC Data'!$P17*$T$14)</f>
        <v>47.4</v>
      </c>
      <c r="D19" s="127"/>
      <c r="E19" s="127"/>
      <c r="F19" s="127"/>
      <c r="G19" s="127"/>
      <c r="H19" s="127"/>
      <c r="I19" s="127"/>
      <c r="J19" s="127"/>
      <c r="K19" s="127"/>
      <c r="L19" s="127"/>
    </row>
    <row r="20" spans="1:14" s="16" customFormat="1" ht="12.75" customHeight="1" x14ac:dyDescent="0.2">
      <c r="A20" s="6">
        <f>'MCC Data'!A18</f>
        <v>0.38541666666666685</v>
      </c>
      <c r="B20" s="31">
        <f>('MCC Data'!$B18*'PCU Data'!$N$14)+('MCC Data'!$C18*'PCU Data'!$O$14)+('MCC Data'!$D18*'PCU Data'!$P$14)+('PCU Data'!$Q$14*'MCC Data'!$E18)+('MCC Data'!$F18*'PCU Data'!$R$14)+('MCC Data'!$G18*'PCU Data'!$S$14)+('MCC Data'!$H18*$T$14)</f>
        <v>43.3</v>
      </c>
      <c r="C20" s="31">
        <f>('MCC Data'!$J18*'PCU Data'!$N$14)+('MCC Data'!$K18*'PCU Data'!$O$14)+('MCC Data'!$L18*'PCU Data'!$P$14)+('PCU Data'!$Q$14*'MCC Data'!$M18)+('MCC Data'!$N18*'PCU Data'!$R$14)+('MCC Data'!$O18*'PCU Data'!$S$14)+('MCC Data'!$P18*$T$14)</f>
        <v>27</v>
      </c>
      <c r="D20" s="127"/>
      <c r="E20" s="127"/>
      <c r="F20" s="127"/>
      <c r="G20" s="127"/>
      <c r="H20" s="127"/>
      <c r="I20" s="127"/>
      <c r="J20" s="127"/>
      <c r="K20" s="127"/>
      <c r="L20" s="127"/>
    </row>
    <row r="21" spans="1:14" s="16" customFormat="1" ht="12.75" customHeight="1" x14ac:dyDescent="0.2">
      <c r="A21" s="7">
        <f>'MCC Data'!A19</f>
        <v>0.39583333333333354</v>
      </c>
      <c r="B21" s="31">
        <f>('MCC Data'!$B19*'PCU Data'!$N$14)+('MCC Data'!$C19*'PCU Data'!$O$14)+('MCC Data'!$D19*'PCU Data'!$P$14)+('PCU Data'!$Q$14*'MCC Data'!$E19)+('MCC Data'!$F19*'PCU Data'!$R$14)+('MCC Data'!$G19*'PCU Data'!$S$14)+('MCC Data'!$H19*$T$14)</f>
        <v>49.099999999999994</v>
      </c>
      <c r="C21" s="31">
        <f>('MCC Data'!$J19*'PCU Data'!$N$14)+('MCC Data'!$K19*'PCU Data'!$O$14)+('MCC Data'!$L19*'PCU Data'!$P$14)+('PCU Data'!$Q$14*'MCC Data'!$M19)+('MCC Data'!$N19*'PCU Data'!$R$14)+('MCC Data'!$O19*'PCU Data'!$S$14)+('MCC Data'!$P19*$T$14)</f>
        <v>24.4</v>
      </c>
      <c r="D21" s="127"/>
      <c r="E21" s="127"/>
      <c r="F21" s="127"/>
      <c r="G21" s="127"/>
      <c r="H21" s="127"/>
      <c r="I21" s="127"/>
      <c r="J21" s="127"/>
      <c r="K21" s="127"/>
      <c r="L21" s="127"/>
    </row>
    <row r="22" spans="1:14" s="16" customFormat="1" ht="12.75" customHeight="1" x14ac:dyDescent="0.2">
      <c r="A22" s="184">
        <f>'MCC Data'!A20</f>
        <v>0.40625000000000022</v>
      </c>
      <c r="B22" s="31">
        <f>('MCC Data'!$B20*'PCU Data'!$N$14)+('MCC Data'!$C20*'PCU Data'!$O$14)+('MCC Data'!$D20*'PCU Data'!$P$14)+('PCU Data'!$Q$14*'MCC Data'!$E20)+('MCC Data'!$F20*'PCU Data'!$R$14)+('MCC Data'!$G20*'PCU Data'!$S$14)+('MCC Data'!$H20*$T$14)</f>
        <v>45.199999999999996</v>
      </c>
      <c r="C22" s="31">
        <f>('MCC Data'!$J20*'PCU Data'!$N$14)+('MCC Data'!$K20*'PCU Data'!$O$14)+('MCC Data'!$L20*'PCU Data'!$P$14)+('PCU Data'!$Q$14*'MCC Data'!$M20)+('MCC Data'!$N20*'PCU Data'!$R$14)+('MCC Data'!$O20*'PCU Data'!$S$14)+('MCC Data'!$P20*$T$14)</f>
        <v>31.2</v>
      </c>
      <c r="D22" s="127"/>
      <c r="E22" s="127"/>
      <c r="F22" s="127"/>
      <c r="G22" s="127"/>
      <c r="H22" s="127"/>
      <c r="I22" s="127"/>
      <c r="J22" s="127"/>
      <c r="K22" s="127"/>
      <c r="L22" s="127"/>
    </row>
    <row r="23" spans="1:14" s="16" customFormat="1" ht="12.75" customHeight="1" x14ac:dyDescent="0.2">
      <c r="A23" s="32">
        <f>'MCC Data'!A21</f>
        <v>0.41666666666666691</v>
      </c>
      <c r="B23" s="31">
        <f>('MCC Data'!$B21*'PCU Data'!$N$14)+('MCC Data'!$C21*'PCU Data'!$O$14)+('MCC Data'!$D21*'PCU Data'!$P$14)+('PCU Data'!$Q$14*'MCC Data'!$E21)+('MCC Data'!$F21*'PCU Data'!$R$14)+('MCC Data'!$G21*'PCU Data'!$S$14)+('MCC Data'!$H21*$T$14)</f>
        <v>37.699999999999996</v>
      </c>
      <c r="C23" s="31">
        <f>('MCC Data'!$J21*'PCU Data'!$N$14)+('MCC Data'!$K21*'PCU Data'!$O$14)+('MCC Data'!$L21*'PCU Data'!$P$14)+('PCU Data'!$Q$14*'MCC Data'!$M21)+('MCC Data'!$N21*'PCU Data'!$R$14)+('MCC Data'!$O21*'PCU Data'!$S$14)+('MCC Data'!$P21*$T$14)</f>
        <v>39.4</v>
      </c>
      <c r="D23" s="127"/>
      <c r="E23" s="127"/>
      <c r="F23" s="127"/>
      <c r="G23" s="127"/>
      <c r="H23" s="127"/>
      <c r="I23" s="127"/>
      <c r="J23" s="127"/>
      <c r="K23" s="127"/>
      <c r="L23" s="127"/>
    </row>
    <row r="24" spans="1:14" s="16" customFormat="1" ht="12.75" customHeight="1" x14ac:dyDescent="0.2">
      <c r="A24" s="7">
        <f>'MCC Data'!A22</f>
        <v>0.42708333333333359</v>
      </c>
      <c r="B24" s="31">
        <f>('MCC Data'!$B22*'PCU Data'!$N$14)+('MCC Data'!$C22*'PCU Data'!$O$14)+('MCC Data'!$D22*'PCU Data'!$P$14)+('PCU Data'!$Q$14*'MCC Data'!$E22)+('MCC Data'!$F22*'PCU Data'!$R$14)+('MCC Data'!$G22*'PCU Data'!$S$14)+('MCC Data'!$H22*$T$14)</f>
        <v>31.7</v>
      </c>
      <c r="C24" s="31">
        <f>('MCC Data'!$J22*'PCU Data'!$N$14)+('MCC Data'!$K22*'PCU Data'!$O$14)+('MCC Data'!$L22*'PCU Data'!$P$14)+('PCU Data'!$Q$14*'MCC Data'!$M22)+('MCC Data'!$N22*'PCU Data'!$R$14)+('MCC Data'!$O22*'PCU Data'!$S$14)+('MCC Data'!$P22*$T$14)</f>
        <v>33.799999999999997</v>
      </c>
      <c r="D24" s="127"/>
      <c r="E24" s="127"/>
      <c r="F24" s="127"/>
      <c r="G24" s="127"/>
      <c r="H24" s="127"/>
      <c r="I24" s="127"/>
      <c r="J24" s="127"/>
      <c r="K24" s="127"/>
      <c r="L24" s="127"/>
    </row>
    <row r="25" spans="1:14" s="16" customFormat="1" ht="12.75" customHeight="1" x14ac:dyDescent="0.2">
      <c r="A25" s="6">
        <f>'MCC Data'!A23</f>
        <v>0.43750000000000028</v>
      </c>
      <c r="B25" s="31">
        <f>('MCC Data'!$B23*'PCU Data'!$N$14)+('MCC Data'!$C23*'PCU Data'!$O$14)+('MCC Data'!$D23*'PCU Data'!$P$14)+('PCU Data'!$Q$14*'MCC Data'!$E23)+('MCC Data'!$F23*'PCU Data'!$R$14)+('MCC Data'!$G23*'PCU Data'!$S$14)+('MCC Data'!$H23*$T$14)</f>
        <v>45.8</v>
      </c>
      <c r="C25" s="31">
        <f>('MCC Data'!$J23*'PCU Data'!$N$14)+('MCC Data'!$K23*'PCU Data'!$O$14)+('MCC Data'!$L23*'PCU Data'!$P$14)+('PCU Data'!$Q$14*'MCC Data'!$M23)+('MCC Data'!$N23*'PCU Data'!$R$14)+('MCC Data'!$O23*'PCU Data'!$S$14)+('MCC Data'!$P23*$T$14)</f>
        <v>29.599999999999998</v>
      </c>
      <c r="D25" s="127"/>
      <c r="E25" s="127"/>
      <c r="F25" s="127"/>
      <c r="G25" s="127"/>
      <c r="H25" s="127"/>
      <c r="I25" s="127"/>
      <c r="J25" s="127"/>
      <c r="K25" s="127"/>
      <c r="L25" s="127"/>
    </row>
    <row r="26" spans="1:14" s="16" customFormat="1" ht="12.75" customHeight="1" x14ac:dyDescent="0.2">
      <c r="A26" s="7">
        <f>'MCC Data'!A24</f>
        <v>0.44791666666666696</v>
      </c>
      <c r="B26" s="31">
        <f>('MCC Data'!$B24*'PCU Data'!$N$14)+('MCC Data'!$C24*'PCU Data'!$O$14)+('MCC Data'!$D24*'PCU Data'!$P$14)+('PCU Data'!$Q$14*'MCC Data'!$E24)+('MCC Data'!$F24*'PCU Data'!$R$14)+('MCC Data'!$G24*'PCU Data'!$S$14)+('MCC Data'!$H24*$T$14)</f>
        <v>38</v>
      </c>
      <c r="C26" s="31">
        <f>('MCC Data'!$J24*'PCU Data'!$N$14)+('MCC Data'!$K24*'PCU Data'!$O$14)+('MCC Data'!$L24*'PCU Data'!$P$14)+('PCU Data'!$Q$14*'MCC Data'!$M24)+('MCC Data'!$N24*'PCU Data'!$R$14)+('MCC Data'!$O24*'PCU Data'!$S$14)+('MCC Data'!$P24*$T$14)</f>
        <v>33.5</v>
      </c>
      <c r="D26" s="127"/>
      <c r="E26" s="127"/>
      <c r="F26" s="127"/>
      <c r="G26" s="127"/>
      <c r="H26" s="127"/>
      <c r="I26" s="127"/>
      <c r="J26" s="127"/>
      <c r="K26" s="127"/>
      <c r="L26" s="127"/>
    </row>
    <row r="27" spans="1:14" s="16" customFormat="1" ht="12.75" customHeight="1" x14ac:dyDescent="0.2">
      <c r="A27" s="6">
        <f>'MCC Data'!A25</f>
        <v>0.45833333333333365</v>
      </c>
      <c r="B27" s="31">
        <f>('MCC Data'!$B25*'PCU Data'!$N$14)+('MCC Data'!$C25*'PCU Data'!$O$14)+('MCC Data'!$D25*'PCU Data'!$P$14)+('PCU Data'!$Q$14*'MCC Data'!$E25)+('MCC Data'!$F25*'PCU Data'!$R$14)+('MCC Data'!$G25*'PCU Data'!$S$14)+('MCC Data'!$H25*$T$14)</f>
        <v>40.1</v>
      </c>
      <c r="C27" s="31">
        <f>('MCC Data'!$J25*'PCU Data'!$N$14)+('MCC Data'!$K25*'PCU Data'!$O$14)+('MCC Data'!$L25*'PCU Data'!$P$14)+('PCU Data'!$Q$14*'MCC Data'!$M25)+('MCC Data'!$N25*'PCU Data'!$R$14)+('MCC Data'!$O25*'PCU Data'!$S$14)+('MCC Data'!$P25*$T$14)</f>
        <v>28.7</v>
      </c>
      <c r="D27" s="127"/>
      <c r="E27" s="127"/>
      <c r="F27" s="127"/>
      <c r="G27" s="127"/>
      <c r="H27" s="127"/>
      <c r="I27" s="127"/>
      <c r="J27" s="127"/>
      <c r="K27" s="127"/>
      <c r="L27" s="127"/>
    </row>
    <row r="28" spans="1:14" s="16" customFormat="1" ht="12.75" customHeight="1" x14ac:dyDescent="0.2">
      <c r="A28" s="6">
        <f>'MCC Data'!A26</f>
        <v>0.46875000000000033</v>
      </c>
      <c r="B28" s="31">
        <f>('MCC Data'!$B26*'PCU Data'!$N$14)+('MCC Data'!$C26*'PCU Data'!$O$14)+('MCC Data'!$D26*'PCU Data'!$P$14)+('PCU Data'!$Q$14*'MCC Data'!$E26)+('MCC Data'!$F26*'PCU Data'!$R$14)+('MCC Data'!$G26*'PCU Data'!$S$14)+('MCC Data'!$H26*$T$14)</f>
        <v>28</v>
      </c>
      <c r="C28" s="31">
        <f>('MCC Data'!$J26*'PCU Data'!$N$14)+('MCC Data'!$K26*'PCU Data'!$O$14)+('MCC Data'!$L26*'PCU Data'!$P$14)+('PCU Data'!$Q$14*'MCC Data'!$M26)+('MCC Data'!$N26*'PCU Data'!$R$14)+('MCC Data'!$O26*'PCU Data'!$S$14)+('MCC Data'!$P26*$T$14)</f>
        <v>39.299999999999997</v>
      </c>
      <c r="D28" s="127"/>
      <c r="E28" s="127"/>
      <c r="F28" s="127"/>
      <c r="G28" s="127"/>
      <c r="H28" s="127"/>
      <c r="I28" s="127"/>
      <c r="J28" s="127"/>
      <c r="K28" s="127"/>
      <c r="L28" s="127"/>
    </row>
    <row r="29" spans="1:14" s="16" customFormat="1" ht="12.75" customHeight="1" x14ac:dyDescent="0.2">
      <c r="A29" s="6">
        <f>'MCC Data'!A27</f>
        <v>0.47916666666666702</v>
      </c>
      <c r="B29" s="31">
        <f>('MCC Data'!$B27*'PCU Data'!$N$14)+('MCC Data'!$C27*'PCU Data'!$O$14)+('MCC Data'!$D27*'PCU Data'!$P$14)+('PCU Data'!$Q$14*'MCC Data'!$E27)+('MCC Data'!$F27*'PCU Data'!$R$14)+('MCC Data'!$G27*'PCU Data'!$S$14)+('MCC Data'!$H27*$T$14)</f>
        <v>48.699999999999996</v>
      </c>
      <c r="C29" s="31">
        <f>('MCC Data'!$J27*'PCU Data'!$N$14)+('MCC Data'!$K27*'PCU Data'!$O$14)+('MCC Data'!$L27*'PCU Data'!$P$14)+('PCU Data'!$Q$14*'MCC Data'!$M27)+('MCC Data'!$N27*'PCU Data'!$R$14)+('MCC Data'!$O27*'PCU Data'!$S$14)+('MCC Data'!$P27*$T$14)</f>
        <v>33.9</v>
      </c>
      <c r="D29" s="127"/>
      <c r="E29" s="127"/>
      <c r="F29" s="127"/>
      <c r="G29" s="127"/>
      <c r="H29" s="127"/>
      <c r="I29" s="127"/>
      <c r="J29" s="127"/>
      <c r="K29" s="127"/>
      <c r="L29" s="127"/>
    </row>
    <row r="30" spans="1:14" s="16" customFormat="1" ht="12.75" customHeight="1" x14ac:dyDescent="0.2">
      <c r="A30" s="6">
        <f>'MCC Data'!A28</f>
        <v>0.4895833333333337</v>
      </c>
      <c r="B30" s="31">
        <f>('MCC Data'!$B28*'PCU Data'!$N$14)+('MCC Data'!$C28*'PCU Data'!$O$14)+('MCC Data'!$D28*'PCU Data'!$P$14)+('PCU Data'!$Q$14*'MCC Data'!$E28)+('MCC Data'!$F28*'PCU Data'!$R$14)+('MCC Data'!$G28*'PCU Data'!$S$14)+('MCC Data'!$H28*$T$14)</f>
        <v>30.5</v>
      </c>
      <c r="C30" s="31">
        <f>('MCC Data'!$J28*'PCU Data'!$N$14)+('MCC Data'!$K28*'PCU Data'!$O$14)+('MCC Data'!$L28*'PCU Data'!$P$14)+('PCU Data'!$Q$14*'MCC Data'!$M28)+('MCC Data'!$N28*'PCU Data'!$R$14)+('MCC Data'!$O28*'PCU Data'!$S$14)+('MCC Data'!$P28*$T$14)</f>
        <v>30.599999999999998</v>
      </c>
      <c r="D30" s="127"/>
      <c r="E30" s="127"/>
      <c r="F30" s="127"/>
      <c r="G30" s="127"/>
      <c r="H30" s="127"/>
      <c r="I30" s="127"/>
      <c r="J30" s="127"/>
      <c r="K30" s="127"/>
      <c r="L30" s="127"/>
    </row>
    <row r="31" spans="1:14" s="16" customFormat="1" ht="12.75" customHeight="1" x14ac:dyDescent="0.2">
      <c r="A31" s="6">
        <f>'MCC Data'!A29</f>
        <v>0.50000000000000033</v>
      </c>
      <c r="B31" s="31">
        <f>('MCC Data'!$B29*'PCU Data'!$N$14)+('MCC Data'!$C29*'PCU Data'!$O$14)+('MCC Data'!$D29*'PCU Data'!$P$14)+('PCU Data'!$Q$14*'MCC Data'!$E29)+('MCC Data'!$F29*'PCU Data'!$R$14)+('MCC Data'!$G29*'PCU Data'!$S$14)+('MCC Data'!$H29*$T$14)</f>
        <v>45.499999999999993</v>
      </c>
      <c r="C31" s="31">
        <f>('MCC Data'!$J29*'PCU Data'!$N$14)+('MCC Data'!$K29*'PCU Data'!$O$14)+('MCC Data'!$L29*'PCU Data'!$P$14)+('PCU Data'!$Q$14*'MCC Data'!$M29)+('MCC Data'!$N29*'PCU Data'!$R$14)+('MCC Data'!$O29*'PCU Data'!$S$14)+('MCC Data'!$P29*$T$14)</f>
        <v>36.5</v>
      </c>
      <c r="D31" s="127"/>
      <c r="E31" s="127"/>
      <c r="F31" s="127"/>
      <c r="G31" s="127"/>
      <c r="H31" s="127"/>
      <c r="I31" s="127"/>
      <c r="J31" s="127"/>
      <c r="K31" s="127"/>
      <c r="L31" s="127"/>
    </row>
    <row r="32" spans="1:14" s="16" customFormat="1" ht="12.75" customHeight="1" x14ac:dyDescent="0.2">
      <c r="A32" s="6">
        <f>'MCC Data'!A30</f>
        <v>0.51041666666666696</v>
      </c>
      <c r="B32" s="31">
        <f>('MCC Data'!$B30*'PCU Data'!$N$14)+('MCC Data'!$C30*'PCU Data'!$O$14)+('MCC Data'!$D30*'PCU Data'!$P$14)+('PCU Data'!$Q$14*'MCC Data'!$E30)+('MCC Data'!$F30*'PCU Data'!$R$14)+('MCC Data'!$G30*'PCU Data'!$S$14)+('MCC Data'!$H30*$T$14)</f>
        <v>44.9</v>
      </c>
      <c r="C32" s="31">
        <f>('MCC Data'!$J30*'PCU Data'!$N$14)+('MCC Data'!$K30*'PCU Data'!$O$14)+('MCC Data'!$L30*'PCU Data'!$P$14)+('PCU Data'!$Q$14*'MCC Data'!$M30)+('MCC Data'!$N30*'PCU Data'!$R$14)+('MCC Data'!$O30*'PCU Data'!$S$14)+('MCC Data'!$P30*$T$14)</f>
        <v>26.7</v>
      </c>
      <c r="D32" s="127"/>
      <c r="E32" s="127"/>
      <c r="F32" s="127"/>
      <c r="G32" s="127"/>
      <c r="H32" s="127"/>
      <c r="I32" s="127"/>
      <c r="J32" s="127"/>
      <c r="K32" s="127"/>
      <c r="L32" s="127"/>
    </row>
    <row r="33" spans="1:12" s="16" customFormat="1" ht="12.75" customHeight="1" x14ac:dyDescent="0.2">
      <c r="A33" s="7">
        <f>'MCC Data'!A31</f>
        <v>0.52083333333333359</v>
      </c>
      <c r="B33" s="31">
        <f>('MCC Data'!$B31*'PCU Data'!$N$14)+('MCC Data'!$C31*'PCU Data'!$O$14)+('MCC Data'!$D31*'PCU Data'!$P$14)+('PCU Data'!$Q$14*'MCC Data'!$E31)+('MCC Data'!$F31*'PCU Data'!$R$14)+('MCC Data'!$G31*'PCU Data'!$S$14)+('MCC Data'!$H31*$T$14)</f>
        <v>44</v>
      </c>
      <c r="C33" s="31">
        <f>('MCC Data'!$J31*'PCU Data'!$N$14)+('MCC Data'!$K31*'PCU Data'!$O$14)+('MCC Data'!$L31*'PCU Data'!$P$14)+('PCU Data'!$Q$14*'MCC Data'!$M31)+('MCC Data'!$N31*'PCU Data'!$R$14)+('MCC Data'!$O31*'PCU Data'!$S$14)+('MCC Data'!$P31*$T$14)</f>
        <v>39.6</v>
      </c>
      <c r="D33" s="127"/>
      <c r="E33" s="127"/>
      <c r="F33" s="127"/>
      <c r="G33" s="127"/>
      <c r="H33" s="127"/>
      <c r="I33" s="127"/>
      <c r="J33" s="127"/>
      <c r="K33" s="127"/>
      <c r="L33" s="127"/>
    </row>
    <row r="34" spans="1:12" s="16" customFormat="1" ht="12.75" customHeight="1" x14ac:dyDescent="0.2">
      <c r="A34" s="184">
        <f>'MCC Data'!A32</f>
        <v>0.53125000000000022</v>
      </c>
      <c r="B34" s="31">
        <f>('MCC Data'!$B32*'PCU Data'!$N$14)+('MCC Data'!$C32*'PCU Data'!$O$14)+('MCC Data'!$D32*'PCU Data'!$P$14)+('PCU Data'!$Q$14*'MCC Data'!$E32)+('MCC Data'!$F32*'PCU Data'!$R$14)+('MCC Data'!$G32*'PCU Data'!$S$14)+('MCC Data'!$H32*$T$14)</f>
        <v>42.599999999999994</v>
      </c>
      <c r="C34" s="31">
        <f>('MCC Data'!$J32*'PCU Data'!$N$14)+('MCC Data'!$K32*'PCU Data'!$O$14)+('MCC Data'!$L32*'PCU Data'!$P$14)+('PCU Data'!$Q$14*'MCC Data'!$M32)+('MCC Data'!$N32*'PCU Data'!$R$14)+('MCC Data'!$O32*'PCU Data'!$S$14)+('MCC Data'!$P32*$T$14)</f>
        <v>26.5</v>
      </c>
      <c r="D34" s="127"/>
      <c r="E34" s="127"/>
      <c r="F34" s="127"/>
      <c r="G34" s="127"/>
      <c r="H34" s="127"/>
      <c r="I34" s="127"/>
      <c r="J34" s="127"/>
      <c r="K34" s="127"/>
      <c r="L34" s="127"/>
    </row>
    <row r="35" spans="1:12" s="16" customFormat="1" ht="12.75" customHeight="1" x14ac:dyDescent="0.2">
      <c r="A35" s="32">
        <f>'MCC Data'!A33</f>
        <v>0.54166666666666685</v>
      </c>
      <c r="B35" s="31">
        <f>('MCC Data'!$B33*'PCU Data'!$N$14)+('MCC Data'!$C33*'PCU Data'!$O$14)+('MCC Data'!$D33*'PCU Data'!$P$14)+('PCU Data'!$Q$14*'MCC Data'!$E33)+('MCC Data'!$F33*'PCU Data'!$R$14)+('MCC Data'!$G33*'PCU Data'!$S$14)+('MCC Data'!$H33*$T$14)</f>
        <v>39.299999999999997</v>
      </c>
      <c r="C35" s="31">
        <f>('MCC Data'!$J33*'PCU Data'!$N$14)+('MCC Data'!$K33*'PCU Data'!$O$14)+('MCC Data'!$L33*'PCU Data'!$P$14)+('PCU Data'!$Q$14*'MCC Data'!$M33)+('MCC Data'!$N33*'PCU Data'!$R$14)+('MCC Data'!$O33*'PCU Data'!$S$14)+('MCC Data'!$P33*$T$14)</f>
        <v>33.5</v>
      </c>
      <c r="D35" s="127"/>
      <c r="E35" s="127"/>
      <c r="F35" s="127"/>
      <c r="G35" s="127"/>
      <c r="H35" s="127"/>
      <c r="I35" s="127"/>
      <c r="J35" s="127"/>
      <c r="K35" s="127"/>
      <c r="L35" s="127"/>
    </row>
    <row r="36" spans="1:12" s="16" customFormat="1" ht="12.75" customHeight="1" x14ac:dyDescent="0.2">
      <c r="A36" s="7">
        <f>'MCC Data'!A34</f>
        <v>0.55208333333333348</v>
      </c>
      <c r="B36" s="31">
        <f>('MCC Data'!$B34*'PCU Data'!$N$14)+('MCC Data'!$C34*'PCU Data'!$O$14)+('MCC Data'!$D34*'PCU Data'!$P$14)+('PCU Data'!$Q$14*'MCC Data'!$E34)+('MCC Data'!$F34*'PCU Data'!$R$14)+('MCC Data'!$G34*'PCU Data'!$S$14)+('MCC Data'!$H34*$T$14)</f>
        <v>46.8</v>
      </c>
      <c r="C36" s="31">
        <f>('MCC Data'!$J34*'PCU Data'!$N$14)+('MCC Data'!$K34*'PCU Data'!$O$14)+('MCC Data'!$L34*'PCU Data'!$P$14)+('PCU Data'!$Q$14*'MCC Data'!$M34)+('MCC Data'!$N34*'PCU Data'!$R$14)+('MCC Data'!$O34*'PCU Data'!$S$14)+('MCC Data'!$P34*$T$14)</f>
        <v>59</v>
      </c>
      <c r="D36" s="127"/>
      <c r="E36" s="127"/>
      <c r="F36" s="127"/>
      <c r="G36" s="127"/>
      <c r="H36" s="127"/>
      <c r="I36" s="127"/>
      <c r="J36" s="127"/>
      <c r="K36" s="127"/>
      <c r="L36" s="127"/>
    </row>
    <row r="37" spans="1:12" s="16" customFormat="1" ht="12.75" customHeight="1" x14ac:dyDescent="0.2">
      <c r="A37" s="6">
        <f>'MCC Data'!A35</f>
        <v>0.56250000000000011</v>
      </c>
      <c r="B37" s="31">
        <f>('MCC Data'!$B35*'PCU Data'!$N$14)+('MCC Data'!$C35*'PCU Data'!$O$14)+('MCC Data'!$D35*'PCU Data'!$P$14)+('PCU Data'!$Q$14*'MCC Data'!$E35)+('MCC Data'!$F35*'PCU Data'!$R$14)+('MCC Data'!$G35*'PCU Data'!$S$14)+('MCC Data'!$H35*$T$14)</f>
        <v>51.1</v>
      </c>
      <c r="C37" s="31">
        <f>('MCC Data'!$J35*'PCU Data'!$N$14)+('MCC Data'!$K35*'PCU Data'!$O$14)+('MCC Data'!$L35*'PCU Data'!$P$14)+('PCU Data'!$Q$14*'MCC Data'!$M35)+('MCC Data'!$N35*'PCU Data'!$R$14)+('MCC Data'!$O35*'PCU Data'!$S$14)+('MCC Data'!$P35*$T$14)</f>
        <v>50.5</v>
      </c>
      <c r="D37" s="127"/>
      <c r="E37" s="127"/>
      <c r="F37" s="127"/>
      <c r="G37" s="127"/>
      <c r="H37" s="127"/>
      <c r="I37" s="127"/>
      <c r="J37" s="127"/>
      <c r="K37" s="127"/>
      <c r="L37" s="127"/>
    </row>
    <row r="38" spans="1:12" s="16" customFormat="1" ht="12.75" customHeight="1" x14ac:dyDescent="0.2">
      <c r="A38" s="7">
        <f>'MCC Data'!A36</f>
        <v>0.57291666666666674</v>
      </c>
      <c r="B38" s="31">
        <f>('MCC Data'!$B36*'PCU Data'!$N$14)+('MCC Data'!$C36*'PCU Data'!$O$14)+('MCC Data'!$D36*'PCU Data'!$P$14)+('PCU Data'!$Q$14*'MCC Data'!$E36)+('MCC Data'!$F36*'PCU Data'!$R$14)+('MCC Data'!$G36*'PCU Data'!$S$14)+('MCC Data'!$H36*$T$14)</f>
        <v>46.3</v>
      </c>
      <c r="C38" s="31">
        <f>('MCC Data'!$J36*'PCU Data'!$N$14)+('MCC Data'!$K36*'PCU Data'!$O$14)+('MCC Data'!$L36*'PCU Data'!$P$14)+('PCU Data'!$Q$14*'MCC Data'!$M36)+('MCC Data'!$N36*'PCU Data'!$R$14)+('MCC Data'!$O36*'PCU Data'!$S$14)+('MCC Data'!$P36*$T$14)</f>
        <v>31.2</v>
      </c>
      <c r="D38" s="127"/>
      <c r="E38" s="127"/>
      <c r="F38" s="127"/>
      <c r="G38" s="127"/>
      <c r="H38" s="127"/>
      <c r="I38" s="127"/>
      <c r="J38" s="127"/>
      <c r="K38" s="127"/>
      <c r="L38" s="127"/>
    </row>
    <row r="39" spans="1:12" s="16" customFormat="1" ht="12.75" customHeight="1" x14ac:dyDescent="0.2">
      <c r="A39" s="6">
        <f>'MCC Data'!A37</f>
        <v>0.58333333333333337</v>
      </c>
      <c r="B39" s="31">
        <f>('MCC Data'!$B37*'PCU Data'!$N$14)+('MCC Data'!$C37*'PCU Data'!$O$14)+('MCC Data'!$D37*'PCU Data'!$P$14)+('PCU Data'!$Q$14*'MCC Data'!$E37)+('MCC Data'!$F37*'PCU Data'!$R$14)+('MCC Data'!$G37*'PCU Data'!$S$14)+('MCC Data'!$H37*$T$14)</f>
        <v>40.4</v>
      </c>
      <c r="C39" s="31">
        <f>('MCC Data'!$J37*'PCU Data'!$N$14)+('MCC Data'!$K37*'PCU Data'!$O$14)+('MCC Data'!$L37*'PCU Data'!$P$14)+('PCU Data'!$Q$14*'MCC Data'!$M37)+('MCC Data'!$N37*'PCU Data'!$R$14)+('MCC Data'!$O37*'PCU Data'!$S$14)+('MCC Data'!$P37*$T$14)</f>
        <v>40.5</v>
      </c>
      <c r="D39" s="127"/>
      <c r="E39" s="127"/>
      <c r="F39" s="127"/>
      <c r="G39" s="127"/>
      <c r="H39" s="127"/>
      <c r="I39" s="127"/>
      <c r="J39" s="127"/>
      <c r="K39" s="127"/>
      <c r="L39" s="127"/>
    </row>
    <row r="40" spans="1:12" s="16" customFormat="1" ht="12.75" customHeight="1" x14ac:dyDescent="0.2">
      <c r="A40" s="6">
        <f>'MCC Data'!A38</f>
        <v>0.59375</v>
      </c>
      <c r="B40" s="31">
        <f>('MCC Data'!$B38*'PCU Data'!$N$14)+('MCC Data'!$C38*'PCU Data'!$O$14)+('MCC Data'!$D38*'PCU Data'!$P$14)+('PCU Data'!$Q$14*'MCC Data'!$E38)+('MCC Data'!$F38*'PCU Data'!$R$14)+('MCC Data'!$G38*'PCU Data'!$S$14)+('MCC Data'!$H38*$T$14)</f>
        <v>46.4</v>
      </c>
      <c r="C40" s="31">
        <f>('MCC Data'!$J38*'PCU Data'!$N$14)+('MCC Data'!$K38*'PCU Data'!$O$14)+('MCC Data'!$L38*'PCU Data'!$P$14)+('PCU Data'!$Q$14*'MCC Data'!$M38)+('MCC Data'!$N38*'PCU Data'!$R$14)+('MCC Data'!$O38*'PCU Data'!$S$14)+('MCC Data'!$P38*$T$14)</f>
        <v>33.4</v>
      </c>
      <c r="D40" s="127"/>
      <c r="E40" s="127"/>
      <c r="F40" s="127"/>
      <c r="G40" s="127"/>
      <c r="H40" s="127"/>
      <c r="I40" s="127"/>
      <c r="J40" s="127"/>
      <c r="K40" s="127"/>
      <c r="L40" s="127"/>
    </row>
    <row r="41" spans="1:12" s="16" customFormat="1" ht="12.75" customHeight="1" x14ac:dyDescent="0.2">
      <c r="A41" s="6">
        <f>'MCC Data'!A39</f>
        <v>0.60416666666666663</v>
      </c>
      <c r="B41" s="31">
        <f>('MCC Data'!$B39*'PCU Data'!$N$14)+('MCC Data'!$C39*'PCU Data'!$O$14)+('MCC Data'!$D39*'PCU Data'!$P$14)+('PCU Data'!$Q$14*'MCC Data'!$E39)+('MCC Data'!$F39*'PCU Data'!$R$14)+('MCC Data'!$G39*'PCU Data'!$S$14)+('MCC Data'!$H39*$T$14)</f>
        <v>45.199999999999996</v>
      </c>
      <c r="C41" s="31">
        <f>('MCC Data'!$J39*'PCU Data'!$N$14)+('MCC Data'!$K39*'PCU Data'!$O$14)+('MCC Data'!$L39*'PCU Data'!$P$14)+('PCU Data'!$Q$14*'MCC Data'!$M39)+('MCC Data'!$N39*'PCU Data'!$R$14)+('MCC Data'!$O39*'PCU Data'!$S$14)+('MCC Data'!$P39*$T$14)</f>
        <v>40.299999999999997</v>
      </c>
      <c r="D41" s="127"/>
      <c r="E41" s="127"/>
      <c r="F41" s="127"/>
      <c r="G41" s="127"/>
      <c r="H41" s="127"/>
      <c r="I41" s="127"/>
      <c r="J41" s="127"/>
      <c r="K41" s="127"/>
      <c r="L41" s="127"/>
    </row>
    <row r="42" spans="1:12" s="16" customFormat="1" ht="12.75" customHeight="1" x14ac:dyDescent="0.2">
      <c r="A42" s="6">
        <f>'MCC Data'!A40</f>
        <v>0.61458333333333326</v>
      </c>
      <c r="B42" s="31">
        <f>('MCC Data'!$B40*'PCU Data'!$N$14)+('MCC Data'!$C40*'PCU Data'!$O$14)+('MCC Data'!$D40*'PCU Data'!$P$14)+('PCU Data'!$Q$14*'MCC Data'!$E40)+('MCC Data'!$F40*'PCU Data'!$R$14)+('MCC Data'!$G40*'PCU Data'!$S$14)+('MCC Data'!$H40*$T$14)</f>
        <v>38.799999999999997</v>
      </c>
      <c r="C42" s="31">
        <f>('MCC Data'!$J40*'PCU Data'!$N$14)+('MCC Data'!$K40*'PCU Data'!$O$14)+('MCC Data'!$L40*'PCU Data'!$P$14)+('PCU Data'!$Q$14*'MCC Data'!$M40)+('MCC Data'!$N40*'PCU Data'!$R$14)+('MCC Data'!$O40*'PCU Data'!$S$14)+('MCC Data'!$P40*$T$14)</f>
        <v>38.6</v>
      </c>
      <c r="D42" s="127"/>
      <c r="E42" s="127"/>
      <c r="F42" s="127"/>
      <c r="G42" s="127"/>
      <c r="H42" s="127"/>
      <c r="I42" s="127"/>
      <c r="J42" s="127"/>
      <c r="K42" s="127"/>
      <c r="L42" s="127"/>
    </row>
    <row r="43" spans="1:12" s="16" customFormat="1" ht="12.75" customHeight="1" x14ac:dyDescent="0.2">
      <c r="A43" s="6">
        <f>'MCC Data'!A41</f>
        <v>0.62499999999999989</v>
      </c>
      <c r="B43" s="31">
        <f>('MCC Data'!$B41*'PCU Data'!$N$14)+('MCC Data'!$C41*'PCU Data'!$O$14)+('MCC Data'!$D41*'PCU Data'!$P$14)+('PCU Data'!$Q$14*'MCC Data'!$E41)+('MCC Data'!$F41*'PCU Data'!$R$14)+('MCC Data'!$G41*'PCU Data'!$S$14)+('MCC Data'!$H41*$T$14)</f>
        <v>34.699999999999996</v>
      </c>
      <c r="C43" s="31">
        <f>('MCC Data'!$J41*'PCU Data'!$N$14)+('MCC Data'!$K41*'PCU Data'!$O$14)+('MCC Data'!$L41*'PCU Data'!$P$14)+('PCU Data'!$Q$14*'MCC Data'!$M41)+('MCC Data'!$N41*'PCU Data'!$R$14)+('MCC Data'!$O41*'PCU Data'!$S$14)+('MCC Data'!$P41*$T$14)</f>
        <v>41.2</v>
      </c>
      <c r="D43" s="127"/>
      <c r="E43" s="127"/>
      <c r="F43" s="127"/>
      <c r="G43" s="127"/>
      <c r="H43" s="127"/>
      <c r="I43" s="127"/>
      <c r="J43" s="127"/>
      <c r="K43" s="127"/>
      <c r="L43" s="127"/>
    </row>
    <row r="44" spans="1:12" s="16" customFormat="1" ht="12.75" customHeight="1" x14ac:dyDescent="0.2">
      <c r="A44" s="6">
        <f>'MCC Data'!A42</f>
        <v>0.63541666666666652</v>
      </c>
      <c r="B44" s="31">
        <f>('MCC Data'!$B42*'PCU Data'!$N$14)+('MCC Data'!$C42*'PCU Data'!$O$14)+('MCC Data'!$D42*'PCU Data'!$P$14)+('PCU Data'!$Q$14*'MCC Data'!$E42)+('MCC Data'!$F42*'PCU Data'!$R$14)+('MCC Data'!$G42*'PCU Data'!$S$14)+('MCC Data'!$H42*$T$14)</f>
        <v>41.8</v>
      </c>
      <c r="C44" s="31">
        <f>('MCC Data'!$J42*'PCU Data'!$N$14)+('MCC Data'!$K42*'PCU Data'!$O$14)+('MCC Data'!$L42*'PCU Data'!$P$14)+('PCU Data'!$Q$14*'MCC Data'!$M42)+('MCC Data'!$N42*'PCU Data'!$R$14)+('MCC Data'!$O42*'PCU Data'!$S$14)+('MCC Data'!$P42*$T$14)</f>
        <v>50.6</v>
      </c>
      <c r="D44" s="127"/>
      <c r="E44" s="127"/>
      <c r="F44" s="127"/>
      <c r="G44" s="127"/>
      <c r="H44" s="127"/>
      <c r="I44" s="127"/>
      <c r="J44" s="127"/>
      <c r="K44" s="127"/>
      <c r="L44" s="127"/>
    </row>
    <row r="45" spans="1:12" s="16" customFormat="1" ht="12.75" customHeight="1" x14ac:dyDescent="0.2">
      <c r="A45" s="7">
        <f>'MCC Data'!A43</f>
        <v>0.64583333333333315</v>
      </c>
      <c r="B45" s="31">
        <f>('MCC Data'!$B43*'PCU Data'!$N$14)+('MCC Data'!$C43*'PCU Data'!$O$14)+('MCC Data'!$D43*'PCU Data'!$P$14)+('PCU Data'!$Q$14*'MCC Data'!$E43)+('MCC Data'!$F43*'PCU Data'!$R$14)+('MCC Data'!$G43*'PCU Data'!$S$14)+('MCC Data'!$H43*$T$14)</f>
        <v>58.199999999999996</v>
      </c>
      <c r="C45" s="31">
        <f>('MCC Data'!$J43*'PCU Data'!$N$14)+('MCC Data'!$K43*'PCU Data'!$O$14)+('MCC Data'!$L43*'PCU Data'!$P$14)+('PCU Data'!$Q$14*'MCC Data'!$M43)+('MCC Data'!$N43*'PCU Data'!$R$14)+('MCC Data'!$O43*'PCU Data'!$S$14)+('MCC Data'!$P43*$T$14)</f>
        <v>52.1</v>
      </c>
      <c r="D45" s="127"/>
      <c r="E45" s="127"/>
      <c r="F45" s="127"/>
      <c r="G45" s="127"/>
      <c r="H45" s="127"/>
      <c r="I45" s="127"/>
      <c r="J45" s="127"/>
      <c r="K45" s="127"/>
      <c r="L45" s="127"/>
    </row>
    <row r="46" spans="1:12" s="16" customFormat="1" ht="12.75" customHeight="1" x14ac:dyDescent="0.2">
      <c r="A46" s="184">
        <f>'MCC Data'!A44</f>
        <v>0.65624999999999978</v>
      </c>
      <c r="B46" s="31">
        <f>('MCC Data'!$B44*'PCU Data'!$N$14)+('MCC Data'!$C44*'PCU Data'!$O$14)+('MCC Data'!$D44*'PCU Data'!$P$14)+('PCU Data'!$Q$14*'MCC Data'!$E44)+('MCC Data'!$F44*'PCU Data'!$R$14)+('MCC Data'!$G44*'PCU Data'!$S$14)+('MCC Data'!$H44*$T$14)</f>
        <v>51.6</v>
      </c>
      <c r="C46" s="31">
        <f>('MCC Data'!$J44*'PCU Data'!$N$14)+('MCC Data'!$K44*'PCU Data'!$O$14)+('MCC Data'!$L44*'PCU Data'!$P$14)+('PCU Data'!$Q$14*'MCC Data'!$M44)+('MCC Data'!$N44*'PCU Data'!$R$14)+('MCC Data'!$O44*'PCU Data'!$S$14)+('MCC Data'!$P44*$T$14)</f>
        <v>56.5</v>
      </c>
      <c r="D46" s="127"/>
      <c r="E46" s="127"/>
      <c r="F46" s="127"/>
      <c r="G46" s="127"/>
      <c r="H46" s="127"/>
      <c r="I46" s="127"/>
      <c r="J46" s="127"/>
      <c r="K46" s="127"/>
      <c r="L46" s="127"/>
    </row>
    <row r="47" spans="1:12" s="16" customFormat="1" ht="12.75" customHeight="1" x14ac:dyDescent="0.2">
      <c r="A47" s="32">
        <f>'MCC Data'!A45</f>
        <v>0.66666666666666641</v>
      </c>
      <c r="B47" s="31">
        <f>('MCC Data'!$B45*'PCU Data'!$N$14)+('MCC Data'!$C45*'PCU Data'!$O$14)+('MCC Data'!$D45*'PCU Data'!$P$14)+('PCU Data'!$Q$14*'MCC Data'!$E45)+('MCC Data'!$F45*'PCU Data'!$R$14)+('MCC Data'!$G45*'PCU Data'!$S$14)+('MCC Data'!$H45*$T$14)</f>
        <v>41.1</v>
      </c>
      <c r="C47" s="31">
        <f>('MCC Data'!$J45*'PCU Data'!$N$14)+('MCC Data'!$K45*'PCU Data'!$O$14)+('MCC Data'!$L45*'PCU Data'!$P$14)+('PCU Data'!$Q$14*'MCC Data'!$M45)+('MCC Data'!$N45*'PCU Data'!$R$14)+('MCC Data'!$O45*'PCU Data'!$S$14)+('MCC Data'!$P45*$T$14)</f>
        <v>56.7</v>
      </c>
      <c r="D47" s="127"/>
      <c r="E47" s="127"/>
      <c r="F47" s="127"/>
      <c r="G47" s="127"/>
      <c r="H47" s="127"/>
      <c r="I47" s="127"/>
      <c r="J47" s="127"/>
      <c r="K47" s="127"/>
      <c r="L47" s="127"/>
    </row>
    <row r="48" spans="1:12" s="16" customFormat="1" ht="12.75" customHeight="1" x14ac:dyDescent="0.2">
      <c r="A48" s="7">
        <f>'MCC Data'!A46</f>
        <v>0.67708333333333304</v>
      </c>
      <c r="B48" s="31">
        <f>('MCC Data'!$B46*'PCU Data'!$N$14)+('MCC Data'!$C46*'PCU Data'!$O$14)+('MCC Data'!$D46*'PCU Data'!$P$14)+('PCU Data'!$Q$14*'MCC Data'!$E46)+('MCC Data'!$F46*'PCU Data'!$R$14)+('MCC Data'!$G46*'PCU Data'!$S$14)+('MCC Data'!$H46*$T$14)</f>
        <v>53.5</v>
      </c>
      <c r="C48" s="31">
        <f>('MCC Data'!$J46*'PCU Data'!$N$14)+('MCC Data'!$K46*'PCU Data'!$O$14)+('MCC Data'!$L46*'PCU Data'!$P$14)+('PCU Data'!$Q$14*'MCC Data'!$M46)+('MCC Data'!$N46*'PCU Data'!$R$14)+('MCC Data'!$O46*'PCU Data'!$S$14)+('MCC Data'!$P46*$T$14)</f>
        <v>74.200000000000017</v>
      </c>
      <c r="D48" s="127"/>
      <c r="E48" s="127"/>
      <c r="F48" s="127"/>
      <c r="G48" s="127"/>
      <c r="H48" s="127"/>
      <c r="I48" s="127"/>
      <c r="J48" s="127"/>
      <c r="K48" s="127"/>
      <c r="L48" s="127"/>
    </row>
    <row r="49" spans="1:12" s="16" customFormat="1" ht="12.75" customHeight="1" x14ac:dyDescent="0.2">
      <c r="A49" s="6">
        <f>'MCC Data'!A47</f>
        <v>0.68749999999999967</v>
      </c>
      <c r="B49" s="31">
        <f>('MCC Data'!$B47*'PCU Data'!$N$14)+('MCC Data'!$C47*'PCU Data'!$O$14)+('MCC Data'!$D47*'PCU Data'!$P$14)+('PCU Data'!$Q$14*'MCC Data'!$E47)+('MCC Data'!$F47*'PCU Data'!$R$14)+('MCC Data'!$G47*'PCU Data'!$S$14)+('MCC Data'!$H47*$T$14)</f>
        <v>44.5</v>
      </c>
      <c r="C49" s="31">
        <f>('MCC Data'!$J47*'PCU Data'!$N$14)+('MCC Data'!$K47*'PCU Data'!$O$14)+('MCC Data'!$L47*'PCU Data'!$P$14)+('PCU Data'!$Q$14*'MCC Data'!$M47)+('MCC Data'!$N47*'PCU Data'!$R$14)+('MCC Data'!$O47*'PCU Data'!$S$14)+('MCC Data'!$P47*$T$14)</f>
        <v>64.5</v>
      </c>
      <c r="D49" s="127"/>
      <c r="E49" s="127"/>
      <c r="F49" s="127"/>
      <c r="G49" s="127"/>
      <c r="H49" s="127"/>
      <c r="I49" s="127"/>
      <c r="J49" s="127"/>
      <c r="K49" s="127"/>
      <c r="L49" s="127"/>
    </row>
    <row r="50" spans="1:12" s="16" customFormat="1" ht="12.75" customHeight="1" x14ac:dyDescent="0.2">
      <c r="A50" s="7">
        <f>'MCC Data'!A48</f>
        <v>0.6979166666666663</v>
      </c>
      <c r="B50" s="31">
        <f>('MCC Data'!$B48*'PCU Data'!$N$14)+('MCC Data'!$C48*'PCU Data'!$O$14)+('MCC Data'!$D48*'PCU Data'!$P$14)+('PCU Data'!$Q$14*'MCC Data'!$E48)+('MCC Data'!$F48*'PCU Data'!$R$14)+('MCC Data'!$G48*'PCU Data'!$S$14)+('MCC Data'!$H48*$T$14)</f>
        <v>35.4</v>
      </c>
      <c r="C50" s="31">
        <f>('MCC Data'!$J48*'PCU Data'!$N$14)+('MCC Data'!$K48*'PCU Data'!$O$14)+('MCC Data'!$L48*'PCU Data'!$P$14)+('PCU Data'!$Q$14*'MCC Data'!$M48)+('MCC Data'!$N48*'PCU Data'!$R$14)+('MCC Data'!$O48*'PCU Data'!$S$14)+('MCC Data'!$P48*$T$14)</f>
        <v>65</v>
      </c>
      <c r="D50" s="127"/>
      <c r="E50" s="127"/>
      <c r="F50" s="127"/>
      <c r="G50" s="127"/>
      <c r="H50" s="127"/>
      <c r="I50" s="127"/>
      <c r="J50" s="127"/>
      <c r="K50" s="127"/>
      <c r="L50" s="127"/>
    </row>
    <row r="51" spans="1:12" s="16" customFormat="1" ht="12.75" customHeight="1" x14ac:dyDescent="0.2">
      <c r="A51" s="6">
        <f>'MCC Data'!A49</f>
        <v>0.70833333333333293</v>
      </c>
      <c r="B51" s="31">
        <f>('MCC Data'!$B49*'PCU Data'!$N$14)+('MCC Data'!$C49*'PCU Data'!$O$14)+('MCC Data'!$D49*'PCU Data'!$P$14)+('PCU Data'!$Q$14*'MCC Data'!$E49)+('MCC Data'!$F49*'PCU Data'!$R$14)+('MCC Data'!$G49*'PCU Data'!$S$14)+('MCC Data'!$H49*$T$14)</f>
        <v>33.299999999999997</v>
      </c>
      <c r="C51" s="31">
        <f>('MCC Data'!$J49*'PCU Data'!$N$14)+('MCC Data'!$K49*'PCU Data'!$O$14)+('MCC Data'!$L49*'PCU Data'!$P$14)+('PCU Data'!$Q$14*'MCC Data'!$M49)+('MCC Data'!$N49*'PCU Data'!$R$14)+('MCC Data'!$O49*'PCU Data'!$S$14)+('MCC Data'!$P49*$T$14)</f>
        <v>55.9</v>
      </c>
      <c r="D51" s="127"/>
      <c r="E51" s="127"/>
      <c r="F51" s="127"/>
      <c r="G51" s="127"/>
      <c r="H51" s="127"/>
      <c r="I51" s="127"/>
      <c r="J51" s="127"/>
      <c r="K51" s="127"/>
      <c r="L51" s="127"/>
    </row>
    <row r="52" spans="1:12" s="16" customFormat="1" ht="12.75" customHeight="1" x14ac:dyDescent="0.2">
      <c r="A52" s="6">
        <f>'MCC Data'!A50</f>
        <v>0.71874999999999956</v>
      </c>
      <c r="B52" s="31">
        <f>('MCC Data'!$B50*'PCU Data'!$N$14)+('MCC Data'!$C50*'PCU Data'!$O$14)+('MCC Data'!$D50*'PCU Data'!$P$14)+('PCU Data'!$Q$14*'MCC Data'!$E50)+('MCC Data'!$F50*'PCU Data'!$R$14)+('MCC Data'!$G50*'PCU Data'!$S$14)+('MCC Data'!$H50*$T$14)</f>
        <v>51.9</v>
      </c>
      <c r="C52" s="31">
        <f>('MCC Data'!$J50*'PCU Data'!$N$14)+('MCC Data'!$K50*'PCU Data'!$O$14)+('MCC Data'!$L50*'PCU Data'!$P$14)+('PCU Data'!$Q$14*'MCC Data'!$M50)+('MCC Data'!$N50*'PCU Data'!$R$14)+('MCC Data'!$O50*'PCU Data'!$S$14)+('MCC Data'!$P50*$T$14)</f>
        <v>69.7</v>
      </c>
      <c r="D52" s="127"/>
      <c r="E52" s="127"/>
      <c r="F52" s="127"/>
      <c r="G52" s="127"/>
      <c r="H52" s="127"/>
      <c r="I52" s="127"/>
      <c r="J52" s="127"/>
      <c r="K52" s="127"/>
      <c r="L52" s="127"/>
    </row>
    <row r="53" spans="1:12" s="16" customFormat="1" ht="12.75" customHeight="1" x14ac:dyDescent="0.2">
      <c r="A53" s="6">
        <f>'MCC Data'!A51</f>
        <v>0.72916666666666619</v>
      </c>
      <c r="B53" s="31">
        <f>('MCC Data'!$B51*'PCU Data'!$N$14)+('MCC Data'!$C51*'PCU Data'!$O$14)+('MCC Data'!$D51*'PCU Data'!$P$14)+('PCU Data'!$Q$14*'MCC Data'!$E51)+('MCC Data'!$F51*'PCU Data'!$R$14)+('MCC Data'!$G51*'PCU Data'!$S$14)+('MCC Data'!$H51*$T$14)</f>
        <v>43.199999999999996</v>
      </c>
      <c r="C53" s="31">
        <f>('MCC Data'!$J51*'PCU Data'!$N$14)+('MCC Data'!$K51*'PCU Data'!$O$14)+('MCC Data'!$L51*'PCU Data'!$P$14)+('PCU Data'!$Q$14*'MCC Data'!$M51)+('MCC Data'!$N51*'PCU Data'!$R$14)+('MCC Data'!$O51*'PCU Data'!$S$14)+('MCC Data'!$P51*$T$14)</f>
        <v>59.199999999999996</v>
      </c>
      <c r="D53" s="127"/>
      <c r="E53" s="127"/>
      <c r="F53" s="127"/>
      <c r="G53" s="127"/>
      <c r="H53" s="127"/>
      <c r="I53" s="127"/>
      <c r="J53" s="127"/>
      <c r="K53" s="127"/>
      <c r="L53" s="127"/>
    </row>
    <row r="54" spans="1:12" s="16" customFormat="1" ht="12.75" customHeight="1" x14ac:dyDescent="0.2">
      <c r="A54" s="6">
        <f>'MCC Data'!A52</f>
        <v>0.73958333333333282</v>
      </c>
      <c r="B54" s="31">
        <f>('MCC Data'!$B52*'PCU Data'!$N$14)+('MCC Data'!$C52*'PCU Data'!$O$14)+('MCC Data'!$D52*'PCU Data'!$P$14)+('PCU Data'!$Q$14*'MCC Data'!$E52)+('MCC Data'!$F52*'PCU Data'!$R$14)+('MCC Data'!$G52*'PCU Data'!$S$14)+('MCC Data'!$H52*$T$14)</f>
        <v>39.5</v>
      </c>
      <c r="C54" s="31">
        <f>('MCC Data'!$J52*'PCU Data'!$N$14)+('MCC Data'!$K52*'PCU Data'!$O$14)+('MCC Data'!$L52*'PCU Data'!$P$14)+('PCU Data'!$Q$14*'MCC Data'!$M52)+('MCC Data'!$N52*'PCU Data'!$R$14)+('MCC Data'!$O52*'PCU Data'!$S$14)+('MCC Data'!$P52*$T$14)</f>
        <v>66.2</v>
      </c>
      <c r="D54" s="127"/>
      <c r="E54" s="127"/>
      <c r="F54" s="127"/>
      <c r="G54" s="127"/>
      <c r="H54" s="127"/>
      <c r="I54" s="127"/>
      <c r="J54" s="127"/>
      <c r="K54" s="127"/>
      <c r="L54" s="127"/>
    </row>
    <row r="55" spans="1:12" s="16" customFormat="1" ht="12.75" customHeight="1" x14ac:dyDescent="0.2">
      <c r="A55" s="6">
        <f>'MCC Data'!A53</f>
        <v>0.74999999999999944</v>
      </c>
      <c r="B55" s="31">
        <f>('MCC Data'!$B53*'PCU Data'!$N$14)+('MCC Data'!$C53*'PCU Data'!$O$14)+('MCC Data'!$D53*'PCU Data'!$P$14)+('PCU Data'!$Q$14*'MCC Data'!$E53)+('MCC Data'!$F53*'PCU Data'!$R$14)+('MCC Data'!$G53*'PCU Data'!$S$14)+('MCC Data'!$H53*$T$14)</f>
        <v>38.5</v>
      </c>
      <c r="C55" s="31">
        <f>('MCC Data'!$J53*'PCU Data'!$N$14)+('MCC Data'!$K53*'PCU Data'!$O$14)+('MCC Data'!$L53*'PCU Data'!$P$14)+('PCU Data'!$Q$14*'MCC Data'!$M53)+('MCC Data'!$N53*'PCU Data'!$R$14)+('MCC Data'!$O53*'PCU Data'!$S$14)+('MCC Data'!$P53*$T$14)</f>
        <v>64.8</v>
      </c>
      <c r="D55" s="127"/>
      <c r="E55" s="127"/>
      <c r="F55" s="127"/>
      <c r="G55" s="127"/>
      <c r="H55" s="127"/>
      <c r="I55" s="127"/>
      <c r="J55" s="127"/>
      <c r="K55" s="127"/>
      <c r="L55" s="127"/>
    </row>
    <row r="56" spans="1:12" s="16" customFormat="1" ht="12.75" customHeight="1" x14ac:dyDescent="0.2">
      <c r="A56" s="6">
        <f>'MCC Data'!A54</f>
        <v>0.76041666666666607</v>
      </c>
      <c r="B56" s="31">
        <f>('MCC Data'!$B54*'PCU Data'!$N$14)+('MCC Data'!$C54*'PCU Data'!$O$14)+('MCC Data'!$D54*'PCU Data'!$P$14)+('PCU Data'!$Q$14*'MCC Data'!$E54)+('MCC Data'!$F54*'PCU Data'!$R$14)+('MCC Data'!$G54*'PCU Data'!$S$14)+('MCC Data'!$H54*$T$14)</f>
        <v>40.299999999999997</v>
      </c>
      <c r="C56" s="31">
        <f>('MCC Data'!$J54*'PCU Data'!$N$14)+('MCC Data'!$K54*'PCU Data'!$O$14)+('MCC Data'!$L54*'PCU Data'!$P$14)+('PCU Data'!$Q$14*'MCC Data'!$M54)+('MCC Data'!$N54*'PCU Data'!$R$14)+('MCC Data'!$O54*'PCU Data'!$S$14)+('MCC Data'!$P54*$T$14)</f>
        <v>54.9</v>
      </c>
      <c r="D56" s="127"/>
      <c r="E56" s="127"/>
      <c r="F56" s="127"/>
      <c r="G56" s="127"/>
      <c r="H56" s="127"/>
      <c r="I56" s="127"/>
      <c r="J56" s="127"/>
      <c r="K56" s="127"/>
      <c r="L56" s="127"/>
    </row>
    <row r="57" spans="1:12" s="16" customFormat="1" ht="12.75" customHeight="1" x14ac:dyDescent="0.2">
      <c r="A57" s="7">
        <f>'MCC Data'!A55</f>
        <v>0.7708333333333327</v>
      </c>
      <c r="B57" s="31">
        <f>('MCC Data'!$B55*'PCU Data'!$N$14)+('MCC Data'!$C55*'PCU Data'!$O$14)+('MCC Data'!$D55*'PCU Data'!$P$14)+('PCU Data'!$Q$14*'MCC Data'!$E55)+('MCC Data'!$F55*'PCU Data'!$R$14)+('MCC Data'!$G55*'PCU Data'!$S$14)+('MCC Data'!$H55*$T$14)</f>
        <v>46.4</v>
      </c>
      <c r="C57" s="31">
        <f>('MCC Data'!$J55*'PCU Data'!$N$14)+('MCC Data'!$K55*'PCU Data'!$O$14)+('MCC Data'!$L55*'PCU Data'!$P$14)+('PCU Data'!$Q$14*'MCC Data'!$M55)+('MCC Data'!$N55*'PCU Data'!$R$14)+('MCC Data'!$O55*'PCU Data'!$S$14)+('MCC Data'!$P55*$T$14)</f>
        <v>53.7</v>
      </c>
      <c r="D57" s="127"/>
      <c r="E57" s="127"/>
      <c r="F57" s="127"/>
      <c r="G57" s="127"/>
      <c r="H57" s="127"/>
      <c r="I57" s="127"/>
      <c r="J57" s="127"/>
      <c r="K57" s="127"/>
      <c r="L57" s="127"/>
    </row>
    <row r="58" spans="1:12" s="16" customFormat="1" ht="12.75" customHeight="1" thickBot="1" x14ac:dyDescent="0.25">
      <c r="A58" s="7">
        <f>'MCC Data'!A56</f>
        <v>0.78124999999999933</v>
      </c>
      <c r="B58" s="31">
        <f>('MCC Data'!$B56*'PCU Data'!$N$14)+('MCC Data'!$C56*'PCU Data'!$O$14)+('MCC Data'!$D56*'PCU Data'!$P$14)+('PCU Data'!$Q$14*'MCC Data'!$E56)+('MCC Data'!$F56*'PCU Data'!$R$14)+('MCC Data'!$G56*'PCU Data'!$S$14)+('MCC Data'!$H56*$T$14)</f>
        <v>27.4</v>
      </c>
      <c r="C58" s="31">
        <f>('MCC Data'!$J56*'PCU Data'!$N$14)+('MCC Data'!$K56*'PCU Data'!$O$14)+('MCC Data'!$L56*'PCU Data'!$P$14)+('PCU Data'!$Q$14*'MCC Data'!$M56)+('MCC Data'!$N56*'PCU Data'!$R$14)+('MCC Data'!$O56*'PCU Data'!$S$14)+('MCC Data'!$P56*$T$14)</f>
        <v>54.8</v>
      </c>
      <c r="D58" s="127"/>
      <c r="E58" s="127"/>
      <c r="F58" s="127"/>
      <c r="G58" s="127"/>
      <c r="H58" s="127"/>
      <c r="I58" s="127"/>
      <c r="J58" s="127"/>
      <c r="K58" s="127"/>
      <c r="L58" s="127"/>
    </row>
    <row r="59" spans="1:12" s="16" customFormat="1" ht="12.75" customHeight="1" thickTop="1" thickBot="1" x14ac:dyDescent="0.25">
      <c r="A59" s="78" t="s">
        <v>5</v>
      </c>
      <c r="B59" s="346" t="s">
        <v>6</v>
      </c>
      <c r="C59" s="347"/>
      <c r="D59" s="127"/>
      <c r="E59" s="127"/>
      <c r="F59" s="127"/>
      <c r="G59" s="127"/>
      <c r="H59" s="127"/>
      <c r="I59" s="127"/>
      <c r="J59" s="127"/>
      <c r="K59" s="127"/>
      <c r="L59" s="127"/>
    </row>
    <row r="60" spans="1:12" s="16" customFormat="1" ht="12.75" customHeight="1" thickTop="1" x14ac:dyDescent="0.2">
      <c r="A60" s="61">
        <f>'MCC Data'!A58</f>
        <v>0.29166666666666669</v>
      </c>
      <c r="B60" s="122">
        <f t="shared" ref="B60:C79" si="0">SUM(B11:B14)</f>
        <v>166.89999999999998</v>
      </c>
      <c r="C60" s="122">
        <f t="shared" si="0"/>
        <v>60.400000000000006</v>
      </c>
      <c r="D60" s="127"/>
      <c r="E60" s="127"/>
      <c r="F60" s="127"/>
      <c r="G60" s="127"/>
      <c r="H60" s="127"/>
      <c r="I60" s="127"/>
      <c r="J60" s="127"/>
      <c r="K60" s="127"/>
      <c r="L60" s="127"/>
    </row>
    <row r="61" spans="1:12" s="16" customFormat="1" ht="12.75" customHeight="1" x14ac:dyDescent="0.2">
      <c r="A61" s="59">
        <f>'MCC Data'!A59</f>
        <v>0.30208333333333337</v>
      </c>
      <c r="B61" s="85">
        <f t="shared" si="0"/>
        <v>209.3</v>
      </c>
      <c r="C61" s="85">
        <f t="shared" si="0"/>
        <v>69</v>
      </c>
      <c r="D61" s="127"/>
      <c r="E61" s="127"/>
      <c r="F61" s="127"/>
      <c r="G61" s="127"/>
      <c r="H61" s="127"/>
      <c r="I61" s="127"/>
      <c r="J61" s="127"/>
      <c r="K61" s="127"/>
      <c r="L61" s="127"/>
    </row>
    <row r="62" spans="1:12" s="16" customFormat="1" ht="12.75" customHeight="1" x14ac:dyDescent="0.2">
      <c r="A62" s="60">
        <f>'MCC Data'!A60</f>
        <v>0.31250000000000006</v>
      </c>
      <c r="B62" s="85">
        <f t="shared" si="0"/>
        <v>223.5</v>
      </c>
      <c r="C62" s="85">
        <f t="shared" si="0"/>
        <v>88.6</v>
      </c>
      <c r="D62" s="127"/>
      <c r="E62" s="127"/>
      <c r="F62" s="127"/>
      <c r="G62" s="127"/>
      <c r="H62" s="127"/>
      <c r="I62" s="127"/>
      <c r="J62" s="127"/>
      <c r="K62" s="127"/>
      <c r="L62" s="127"/>
    </row>
    <row r="63" spans="1:12" s="16" customFormat="1" ht="12.75" customHeight="1" x14ac:dyDescent="0.2">
      <c r="A63" s="59">
        <f>'MCC Data'!A61</f>
        <v>0.32291666666666674</v>
      </c>
      <c r="B63" s="85">
        <f t="shared" si="0"/>
        <v>230.90000000000003</v>
      </c>
      <c r="C63" s="85">
        <f t="shared" si="0"/>
        <v>98.1</v>
      </c>
      <c r="D63" s="127"/>
      <c r="E63" s="127"/>
      <c r="F63" s="127"/>
      <c r="G63" s="127"/>
      <c r="H63" s="127"/>
      <c r="I63" s="127"/>
      <c r="J63" s="127"/>
      <c r="K63" s="127"/>
      <c r="L63" s="127"/>
    </row>
    <row r="64" spans="1:12" s="16" customFormat="1" ht="12.75" customHeight="1" x14ac:dyDescent="0.2">
      <c r="A64" s="59">
        <f>'MCC Data'!A62</f>
        <v>0.33333333333333343</v>
      </c>
      <c r="B64" s="85">
        <f t="shared" si="0"/>
        <v>226.20000000000002</v>
      </c>
      <c r="C64" s="85">
        <f t="shared" si="0"/>
        <v>112</v>
      </c>
      <c r="D64" s="127"/>
      <c r="E64" s="127"/>
      <c r="F64" s="127"/>
      <c r="G64" s="127"/>
      <c r="H64" s="127"/>
      <c r="I64" s="127"/>
      <c r="J64" s="127"/>
      <c r="K64" s="127"/>
      <c r="L64" s="127"/>
    </row>
    <row r="65" spans="1:12" s="16" customFormat="1" ht="12.75" customHeight="1" x14ac:dyDescent="0.2">
      <c r="A65" s="60">
        <f>'MCC Data'!A63</f>
        <v>0.34375000000000011</v>
      </c>
      <c r="B65" s="85">
        <f t="shared" si="0"/>
        <v>209.7</v>
      </c>
      <c r="C65" s="85">
        <f t="shared" si="0"/>
        <v>139.4</v>
      </c>
      <c r="D65" s="127"/>
      <c r="E65" s="127"/>
      <c r="F65" s="127"/>
      <c r="G65" s="127"/>
      <c r="H65" s="127"/>
      <c r="I65" s="127"/>
      <c r="J65" s="127"/>
      <c r="K65" s="127"/>
      <c r="L65" s="127"/>
    </row>
    <row r="66" spans="1:12" s="16" customFormat="1" ht="12.75" customHeight="1" x14ac:dyDescent="0.2">
      <c r="A66" s="59">
        <f>'MCC Data'!A64</f>
        <v>0.3541666666666668</v>
      </c>
      <c r="B66" s="85">
        <f t="shared" si="0"/>
        <v>192.8</v>
      </c>
      <c r="C66" s="85">
        <f t="shared" si="0"/>
        <v>135.6</v>
      </c>
      <c r="D66" s="127"/>
      <c r="E66" s="127"/>
      <c r="F66" s="127"/>
      <c r="G66" s="127"/>
      <c r="H66" s="127"/>
      <c r="I66" s="127"/>
      <c r="J66" s="127"/>
      <c r="K66" s="127"/>
      <c r="L66" s="127"/>
    </row>
    <row r="67" spans="1:12" s="16" customFormat="1" ht="12.75" customHeight="1" x14ac:dyDescent="0.2">
      <c r="A67" s="59">
        <f>'MCC Data'!A65</f>
        <v>0.36458333333333348</v>
      </c>
      <c r="B67" s="85">
        <f t="shared" si="0"/>
        <v>187.1</v>
      </c>
      <c r="C67" s="85">
        <f t="shared" si="0"/>
        <v>128.4</v>
      </c>
      <c r="D67" s="127"/>
      <c r="E67" s="127"/>
      <c r="F67" s="127"/>
      <c r="G67" s="127"/>
      <c r="H67" s="127"/>
      <c r="I67" s="127"/>
      <c r="J67" s="127"/>
      <c r="K67" s="127"/>
      <c r="L67" s="127"/>
    </row>
    <row r="68" spans="1:12" s="16" customFormat="1" ht="12.75" customHeight="1" x14ac:dyDescent="0.2">
      <c r="A68" s="60">
        <f>'MCC Data'!A66</f>
        <v>0.37500000000000017</v>
      </c>
      <c r="B68" s="85">
        <f t="shared" si="0"/>
        <v>188.7</v>
      </c>
      <c r="C68" s="85">
        <f t="shared" si="0"/>
        <v>130</v>
      </c>
      <c r="D68" s="127"/>
      <c r="E68" s="127"/>
      <c r="F68" s="127"/>
      <c r="G68" s="127"/>
      <c r="H68" s="127"/>
      <c r="I68" s="127"/>
      <c r="J68" s="127"/>
      <c r="K68" s="127"/>
      <c r="L68" s="127"/>
    </row>
    <row r="69" spans="1:12" s="16" customFormat="1" ht="12.75" customHeight="1" x14ac:dyDescent="0.2">
      <c r="A69" s="59">
        <f>'MCC Data'!A67</f>
        <v>0.38541666666666685</v>
      </c>
      <c r="B69" s="85">
        <f t="shared" si="0"/>
        <v>175.29999999999998</v>
      </c>
      <c r="C69" s="85">
        <f t="shared" si="0"/>
        <v>122</v>
      </c>
      <c r="D69" s="127"/>
      <c r="E69" s="127"/>
      <c r="F69" s="127"/>
      <c r="G69" s="127"/>
      <c r="H69" s="127"/>
      <c r="I69" s="127"/>
      <c r="J69" s="127"/>
      <c r="K69" s="127"/>
      <c r="L69" s="127"/>
    </row>
    <row r="70" spans="1:12" s="16" customFormat="1" ht="12.75" customHeight="1" x14ac:dyDescent="0.2">
      <c r="A70" s="59">
        <f>'MCC Data'!A68</f>
        <v>0.39583333333333354</v>
      </c>
      <c r="B70" s="85">
        <f t="shared" si="0"/>
        <v>163.69999999999996</v>
      </c>
      <c r="C70" s="85">
        <f t="shared" si="0"/>
        <v>128.80000000000001</v>
      </c>
      <c r="D70" s="127"/>
      <c r="E70" s="127"/>
      <c r="F70" s="127"/>
      <c r="G70" s="127"/>
      <c r="H70" s="127"/>
      <c r="I70" s="127"/>
      <c r="J70" s="127"/>
      <c r="K70" s="127"/>
      <c r="L70" s="127"/>
    </row>
    <row r="71" spans="1:12" s="16" customFormat="1" ht="12.75" customHeight="1" x14ac:dyDescent="0.2">
      <c r="A71" s="60">
        <f>'MCC Data'!A69</f>
        <v>0.40625000000000022</v>
      </c>
      <c r="B71" s="85">
        <f t="shared" si="0"/>
        <v>160.39999999999998</v>
      </c>
      <c r="C71" s="85">
        <f t="shared" si="0"/>
        <v>134</v>
      </c>
      <c r="D71" s="127"/>
      <c r="E71" s="127"/>
      <c r="F71" s="127"/>
      <c r="G71" s="127"/>
      <c r="H71" s="127"/>
      <c r="I71" s="127"/>
      <c r="J71" s="127"/>
      <c r="K71" s="127"/>
      <c r="L71" s="127"/>
    </row>
    <row r="72" spans="1:12" s="16" customFormat="1" ht="12.75" customHeight="1" x14ac:dyDescent="0.2">
      <c r="A72" s="59">
        <f>'MCC Data'!A70</f>
        <v>0.41666666666666691</v>
      </c>
      <c r="B72" s="85">
        <f t="shared" si="0"/>
        <v>153.19999999999999</v>
      </c>
      <c r="C72" s="85">
        <f t="shared" si="0"/>
        <v>136.29999999999998</v>
      </c>
      <c r="D72" s="127"/>
      <c r="E72" s="127"/>
      <c r="F72" s="127"/>
      <c r="G72" s="127"/>
      <c r="H72" s="127"/>
      <c r="I72" s="127"/>
      <c r="J72" s="127"/>
      <c r="K72" s="127"/>
      <c r="L72" s="127"/>
    </row>
    <row r="73" spans="1:12" s="16" customFormat="1" ht="12.75" customHeight="1" x14ac:dyDescent="0.2">
      <c r="A73" s="59">
        <f>'MCC Data'!A71</f>
        <v>0.42708333333333359</v>
      </c>
      <c r="B73" s="85">
        <f t="shared" si="0"/>
        <v>155.6</v>
      </c>
      <c r="C73" s="85">
        <f t="shared" si="0"/>
        <v>125.6</v>
      </c>
      <c r="D73" s="127"/>
      <c r="E73" s="127"/>
      <c r="F73" s="127"/>
      <c r="G73" s="127"/>
      <c r="H73" s="127"/>
      <c r="I73" s="127"/>
      <c r="J73" s="127"/>
      <c r="K73" s="127"/>
      <c r="L73" s="127"/>
    </row>
    <row r="74" spans="1:12" s="16" customFormat="1" ht="12.75" customHeight="1" x14ac:dyDescent="0.2">
      <c r="A74" s="60">
        <f>'MCC Data'!A72</f>
        <v>0.43750000000000028</v>
      </c>
      <c r="B74" s="85">
        <f t="shared" si="0"/>
        <v>151.9</v>
      </c>
      <c r="C74" s="85">
        <f t="shared" si="0"/>
        <v>131.1</v>
      </c>
      <c r="D74" s="127"/>
      <c r="E74" s="127"/>
      <c r="F74" s="127"/>
      <c r="G74" s="127"/>
      <c r="H74" s="127"/>
      <c r="I74" s="127"/>
      <c r="J74" s="127"/>
      <c r="K74" s="127"/>
      <c r="L74" s="127"/>
    </row>
    <row r="75" spans="1:12" s="16" customFormat="1" ht="12.75" customHeight="1" x14ac:dyDescent="0.2">
      <c r="A75" s="59">
        <f>'MCC Data'!A73</f>
        <v>0.44791666666666696</v>
      </c>
      <c r="B75" s="85">
        <f t="shared" si="0"/>
        <v>154.79999999999998</v>
      </c>
      <c r="C75" s="85">
        <f t="shared" si="0"/>
        <v>135.4</v>
      </c>
      <c r="D75" s="127"/>
      <c r="E75" s="127"/>
      <c r="F75" s="127"/>
      <c r="G75" s="127"/>
      <c r="H75" s="127"/>
      <c r="I75" s="127"/>
      <c r="J75" s="127"/>
      <c r="K75" s="127"/>
      <c r="L75" s="127"/>
    </row>
    <row r="76" spans="1:12" s="16" customFormat="1" ht="12.75" customHeight="1" x14ac:dyDescent="0.2">
      <c r="A76" s="59">
        <f>'MCC Data'!A74</f>
        <v>0.45833333333333365</v>
      </c>
      <c r="B76" s="85">
        <f t="shared" si="0"/>
        <v>147.29999999999998</v>
      </c>
      <c r="C76" s="85">
        <f t="shared" si="0"/>
        <v>132.5</v>
      </c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s="16" customFormat="1" ht="12.75" customHeight="1" x14ac:dyDescent="0.2">
      <c r="A77" s="60">
        <f>'MCC Data'!A75</f>
        <v>0.46875000000000033</v>
      </c>
      <c r="B77" s="85">
        <f t="shared" si="0"/>
        <v>152.69999999999999</v>
      </c>
      <c r="C77" s="85">
        <f t="shared" si="0"/>
        <v>140.29999999999998</v>
      </c>
      <c r="D77" s="127"/>
      <c r="E77" s="127"/>
      <c r="F77" s="127"/>
      <c r="G77" s="127"/>
      <c r="H77" s="127"/>
      <c r="I77" s="127"/>
      <c r="J77" s="127"/>
      <c r="K77" s="127"/>
      <c r="L77" s="127"/>
    </row>
    <row r="78" spans="1:12" s="16" customFormat="1" ht="12.75" customHeight="1" x14ac:dyDescent="0.2">
      <c r="A78" s="59">
        <f>'MCC Data'!A76</f>
        <v>0.47916666666666702</v>
      </c>
      <c r="B78" s="85">
        <f t="shared" si="0"/>
        <v>169.6</v>
      </c>
      <c r="C78" s="85">
        <f t="shared" si="0"/>
        <v>127.7</v>
      </c>
      <c r="D78" s="127"/>
      <c r="E78" s="127"/>
      <c r="F78" s="127"/>
      <c r="G78" s="127"/>
      <c r="H78" s="127"/>
      <c r="I78" s="127"/>
      <c r="J78" s="127"/>
      <c r="K78" s="127"/>
      <c r="L78" s="127"/>
    </row>
    <row r="79" spans="1:12" s="16" customFormat="1" ht="12.75" customHeight="1" x14ac:dyDescent="0.2">
      <c r="A79" s="59">
        <f>'MCC Data'!A77</f>
        <v>0.4895833333333337</v>
      </c>
      <c r="B79" s="85">
        <f t="shared" si="0"/>
        <v>164.9</v>
      </c>
      <c r="C79" s="85">
        <f t="shared" si="0"/>
        <v>133.4</v>
      </c>
      <c r="D79" s="127"/>
      <c r="E79" s="127"/>
      <c r="F79" s="127"/>
      <c r="G79" s="127"/>
      <c r="H79" s="127"/>
      <c r="I79" s="127"/>
      <c r="J79" s="127"/>
      <c r="K79" s="127"/>
      <c r="L79" s="127"/>
    </row>
    <row r="80" spans="1:12" s="16" customFormat="1" ht="12.75" customHeight="1" x14ac:dyDescent="0.2">
      <c r="A80" s="60">
        <f>'MCC Data'!A78</f>
        <v>0.50000000000000033</v>
      </c>
      <c r="B80" s="85">
        <f t="shared" ref="B80:C99" si="1">SUM(B31:B34)</f>
        <v>176.99999999999997</v>
      </c>
      <c r="C80" s="85">
        <f t="shared" si="1"/>
        <v>129.30000000000001</v>
      </c>
      <c r="D80" s="127"/>
      <c r="E80" s="127"/>
      <c r="F80" s="127"/>
      <c r="G80" s="127"/>
      <c r="H80" s="127"/>
      <c r="I80" s="127"/>
      <c r="J80" s="127"/>
      <c r="K80" s="127"/>
      <c r="L80" s="127"/>
    </row>
    <row r="81" spans="1:13" s="16" customFormat="1" ht="12.75" customHeight="1" x14ac:dyDescent="0.2">
      <c r="A81" s="59">
        <f>'MCC Data'!A79</f>
        <v>0.51041666666666696</v>
      </c>
      <c r="B81" s="85">
        <f t="shared" si="1"/>
        <v>170.8</v>
      </c>
      <c r="C81" s="85">
        <f t="shared" si="1"/>
        <v>126.3</v>
      </c>
      <c r="D81" s="127"/>
      <c r="E81" s="127"/>
      <c r="F81" s="127"/>
      <c r="G81" s="127"/>
      <c r="H81" s="127"/>
      <c r="I81" s="127"/>
      <c r="J81" s="127"/>
      <c r="K81" s="127"/>
      <c r="L81" s="127"/>
    </row>
    <row r="82" spans="1:13" s="16" customFormat="1" ht="12.75" customHeight="1" x14ac:dyDescent="0.2">
      <c r="A82" s="59">
        <f>'MCC Data'!A80</f>
        <v>0.52083333333333359</v>
      </c>
      <c r="B82" s="85">
        <f t="shared" si="1"/>
        <v>172.7</v>
      </c>
      <c r="C82" s="85">
        <f t="shared" si="1"/>
        <v>158.6</v>
      </c>
      <c r="D82" s="127"/>
      <c r="E82" s="127"/>
      <c r="F82" s="127"/>
      <c r="G82" s="127"/>
      <c r="H82" s="127"/>
      <c r="I82" s="127"/>
      <c r="J82" s="127"/>
      <c r="K82" s="127"/>
      <c r="L82" s="127"/>
    </row>
    <row r="83" spans="1:13" s="16" customFormat="1" ht="12.75" customHeight="1" x14ac:dyDescent="0.2">
      <c r="A83" s="60">
        <f>'MCC Data'!A81</f>
        <v>0.53125000000000022</v>
      </c>
      <c r="B83" s="85">
        <f t="shared" si="1"/>
        <v>179.79999999999998</v>
      </c>
      <c r="C83" s="85">
        <f t="shared" si="1"/>
        <v>169.5</v>
      </c>
      <c r="D83" s="127"/>
      <c r="E83" s="127"/>
      <c r="F83" s="127"/>
      <c r="G83" s="127"/>
      <c r="H83" s="127"/>
      <c r="I83" s="127"/>
      <c r="J83" s="127"/>
      <c r="K83" s="127"/>
      <c r="L83" s="127"/>
    </row>
    <row r="84" spans="1:13" s="16" customFormat="1" ht="12.75" customHeight="1" x14ac:dyDescent="0.2">
      <c r="A84" s="59">
        <f>'MCC Data'!A82</f>
        <v>0.54166666666666685</v>
      </c>
      <c r="B84" s="85">
        <f t="shared" si="1"/>
        <v>183.5</v>
      </c>
      <c r="C84" s="85">
        <f t="shared" si="1"/>
        <v>174.2</v>
      </c>
      <c r="D84" s="127"/>
      <c r="E84" s="127"/>
      <c r="F84" s="127"/>
      <c r="G84" s="127"/>
      <c r="H84" s="127"/>
      <c r="I84" s="127"/>
      <c r="J84" s="127"/>
      <c r="K84" s="127"/>
      <c r="L84" s="127"/>
    </row>
    <row r="85" spans="1:13" s="16" customFormat="1" ht="12.75" customHeight="1" x14ac:dyDescent="0.2">
      <c r="A85" s="59">
        <f>'MCC Data'!A83</f>
        <v>0.55208333333333348</v>
      </c>
      <c r="B85" s="85">
        <f t="shared" si="1"/>
        <v>184.6</v>
      </c>
      <c r="C85" s="85">
        <f t="shared" si="1"/>
        <v>181.2</v>
      </c>
      <c r="D85" s="127"/>
      <c r="E85" s="127"/>
      <c r="F85" s="127"/>
      <c r="G85" s="127"/>
      <c r="H85" s="127"/>
      <c r="I85" s="127"/>
      <c r="J85" s="127"/>
      <c r="K85" s="127"/>
      <c r="L85" s="127"/>
    </row>
    <row r="86" spans="1:13" s="16" customFormat="1" ht="12.75" customHeight="1" x14ac:dyDescent="0.2">
      <c r="A86" s="60">
        <f>'MCC Data'!A84</f>
        <v>0.56250000000000011</v>
      </c>
      <c r="B86" s="85">
        <f t="shared" si="1"/>
        <v>184.20000000000002</v>
      </c>
      <c r="C86" s="85">
        <f t="shared" si="1"/>
        <v>155.6</v>
      </c>
      <c r="D86" s="127"/>
      <c r="E86" s="127"/>
      <c r="F86" s="127"/>
      <c r="G86" s="127"/>
      <c r="H86" s="127"/>
      <c r="I86" s="127"/>
      <c r="J86" s="127"/>
      <c r="K86" s="127"/>
      <c r="L86" s="127"/>
    </row>
    <row r="87" spans="1:13" s="16" customFormat="1" ht="12.75" customHeight="1" x14ac:dyDescent="0.2">
      <c r="A87" s="59">
        <f>'MCC Data'!A85</f>
        <v>0.57291666666666674</v>
      </c>
      <c r="B87" s="85">
        <f t="shared" si="1"/>
        <v>178.29999999999998</v>
      </c>
      <c r="C87" s="85">
        <f t="shared" si="1"/>
        <v>145.39999999999998</v>
      </c>
      <c r="D87" s="127"/>
      <c r="E87" s="127"/>
      <c r="F87" s="127"/>
      <c r="G87" s="127"/>
      <c r="H87" s="127"/>
      <c r="I87" s="127"/>
      <c r="J87" s="127"/>
      <c r="K87" s="127"/>
      <c r="L87" s="127"/>
    </row>
    <row r="88" spans="1:13" s="16" customFormat="1" ht="12.75" customHeight="1" x14ac:dyDescent="0.2">
      <c r="A88" s="59">
        <f>'MCC Data'!A86</f>
        <v>0.58333333333333337</v>
      </c>
      <c r="B88" s="85">
        <f t="shared" si="1"/>
        <v>170.8</v>
      </c>
      <c r="C88" s="85">
        <f t="shared" si="1"/>
        <v>152.80000000000001</v>
      </c>
      <c r="D88" s="127"/>
      <c r="E88" s="127"/>
      <c r="F88" s="127"/>
      <c r="G88" s="127"/>
      <c r="H88" s="127"/>
      <c r="I88" s="127"/>
      <c r="J88" s="127"/>
      <c r="K88" s="127"/>
      <c r="L88" s="127"/>
    </row>
    <row r="89" spans="1:13" s="16" customFormat="1" ht="12.75" customHeight="1" x14ac:dyDescent="0.2">
      <c r="A89" s="60">
        <f>'MCC Data'!A87</f>
        <v>0.59375</v>
      </c>
      <c r="B89" s="85">
        <f t="shared" si="1"/>
        <v>165.09999999999997</v>
      </c>
      <c r="C89" s="85">
        <f t="shared" si="1"/>
        <v>153.5</v>
      </c>
      <c r="D89" s="127"/>
      <c r="E89" s="127"/>
      <c r="F89" s="127"/>
      <c r="G89" s="127"/>
      <c r="H89" s="127"/>
      <c r="I89" s="127"/>
      <c r="J89" s="127"/>
      <c r="K89" s="127"/>
      <c r="L89" s="127"/>
    </row>
    <row r="90" spans="1:13" s="16" customFormat="1" ht="12.75" customHeight="1" x14ac:dyDescent="0.2">
      <c r="A90" s="59">
        <f>'MCC Data'!A88</f>
        <v>0.60416666666666663</v>
      </c>
      <c r="B90" s="85">
        <f t="shared" si="1"/>
        <v>160.5</v>
      </c>
      <c r="C90" s="85">
        <f t="shared" si="1"/>
        <v>170.70000000000002</v>
      </c>
      <c r="D90" s="127"/>
      <c r="E90" s="127"/>
      <c r="F90" s="127"/>
      <c r="G90" s="127"/>
      <c r="H90" s="127"/>
      <c r="I90" s="127"/>
      <c r="J90" s="127"/>
      <c r="K90" s="127"/>
      <c r="L90" s="127"/>
    </row>
    <row r="91" spans="1:13" s="16" customFormat="1" ht="12.75" customHeight="1" x14ac:dyDescent="0.2">
      <c r="A91" s="59">
        <f>'MCC Data'!A89</f>
        <v>0.61458333333333326</v>
      </c>
      <c r="B91" s="85">
        <f t="shared" si="1"/>
        <v>173.5</v>
      </c>
      <c r="C91" s="85">
        <f t="shared" si="1"/>
        <v>182.5</v>
      </c>
      <c r="D91" s="127"/>
      <c r="E91" s="127"/>
      <c r="F91" s="127"/>
      <c r="G91" s="127"/>
      <c r="H91" s="127"/>
      <c r="I91" s="127"/>
      <c r="J91" s="127"/>
      <c r="K91" s="127"/>
      <c r="L91" s="127"/>
    </row>
    <row r="92" spans="1:13" s="16" customFormat="1" ht="12.75" customHeight="1" x14ac:dyDescent="0.2">
      <c r="A92" s="60">
        <f>'MCC Data'!A90</f>
        <v>0.62499999999999989</v>
      </c>
      <c r="B92" s="85">
        <f t="shared" si="1"/>
        <v>186.29999999999998</v>
      </c>
      <c r="C92" s="85">
        <f t="shared" si="1"/>
        <v>200.4</v>
      </c>
      <c r="D92" s="127"/>
      <c r="E92" s="127"/>
      <c r="F92" s="127"/>
      <c r="G92" s="127"/>
      <c r="H92" s="127"/>
      <c r="I92" s="127"/>
      <c r="J92" s="127"/>
      <c r="K92" s="127"/>
      <c r="L92" s="127"/>
    </row>
    <row r="93" spans="1:13" s="16" customFormat="1" ht="12.75" customHeight="1" x14ac:dyDescent="0.2">
      <c r="A93" s="59">
        <f>'MCC Data'!A91</f>
        <v>0.63541666666666652</v>
      </c>
      <c r="B93" s="85">
        <f t="shared" si="1"/>
        <v>192.7</v>
      </c>
      <c r="C93" s="85">
        <f t="shared" si="1"/>
        <v>215.89999999999998</v>
      </c>
      <c r="D93" s="127"/>
      <c r="E93" s="127"/>
      <c r="F93" s="127"/>
      <c r="G93" s="127"/>
      <c r="H93" s="127"/>
      <c r="I93" s="127"/>
      <c r="J93" s="127"/>
      <c r="K93" s="127"/>
      <c r="L93" s="127"/>
    </row>
    <row r="94" spans="1:13" s="16" customFormat="1" ht="12.75" customHeight="1" x14ac:dyDescent="0.2">
      <c r="A94" s="59">
        <f>'MCC Data'!A92</f>
        <v>0.64583333333333315</v>
      </c>
      <c r="B94" s="85">
        <f t="shared" si="1"/>
        <v>204.4</v>
      </c>
      <c r="C94" s="85">
        <f t="shared" si="1"/>
        <v>239.50000000000003</v>
      </c>
      <c r="D94" s="127"/>
      <c r="E94" s="127"/>
      <c r="F94" s="127"/>
      <c r="G94" s="127"/>
      <c r="H94" s="127"/>
      <c r="I94" s="127"/>
      <c r="J94" s="127"/>
      <c r="K94" s="127"/>
      <c r="L94" s="127"/>
    </row>
    <row r="95" spans="1:13" s="16" customFormat="1" ht="12.75" customHeight="1" x14ac:dyDescent="0.2">
      <c r="A95" s="60">
        <f>'MCC Data'!A93</f>
        <v>0.65624999999999978</v>
      </c>
      <c r="B95" s="85">
        <f t="shared" si="1"/>
        <v>190.7</v>
      </c>
      <c r="C95" s="85">
        <f t="shared" si="1"/>
        <v>251.90000000000003</v>
      </c>
      <c r="D95" s="127"/>
      <c r="E95" s="127"/>
      <c r="F95" s="127"/>
      <c r="G95" s="127"/>
      <c r="H95" s="127"/>
      <c r="I95" s="127"/>
      <c r="J95" s="127"/>
      <c r="K95" s="127"/>
      <c r="L95" s="127"/>
    </row>
    <row r="96" spans="1:13" s="16" customFormat="1" ht="12.75" customHeight="1" x14ac:dyDescent="0.2">
      <c r="A96" s="59">
        <f>'MCC Data'!A94</f>
        <v>0.66666666666666641</v>
      </c>
      <c r="B96" s="85">
        <f t="shared" si="1"/>
        <v>174.5</v>
      </c>
      <c r="C96" s="85">
        <f t="shared" si="1"/>
        <v>260.40000000000003</v>
      </c>
      <c r="D96" s="127"/>
      <c r="E96" s="127"/>
      <c r="F96" s="127"/>
      <c r="G96" s="127"/>
      <c r="H96" s="127"/>
      <c r="I96" s="127"/>
      <c r="J96" s="127"/>
      <c r="K96" s="127"/>
      <c r="L96" s="127"/>
      <c r="M96" s="17"/>
    </row>
    <row r="97" spans="1:12" ht="12.75" customHeight="1" x14ac:dyDescent="0.2">
      <c r="A97" s="59">
        <f>'MCC Data'!A95</f>
        <v>0.67708333333333304</v>
      </c>
      <c r="B97" s="85">
        <f t="shared" si="1"/>
        <v>166.7</v>
      </c>
      <c r="C97" s="85">
        <f t="shared" si="1"/>
        <v>259.60000000000002</v>
      </c>
      <c r="D97" s="127"/>
      <c r="E97" s="127"/>
      <c r="F97" s="127"/>
      <c r="G97" s="127"/>
      <c r="H97" s="127"/>
      <c r="I97" s="127"/>
      <c r="J97" s="127"/>
      <c r="K97" s="127"/>
      <c r="L97" s="127"/>
    </row>
    <row r="98" spans="1:12" ht="12.75" customHeight="1" x14ac:dyDescent="0.2">
      <c r="A98" s="60">
        <f>'MCC Data'!A96</f>
        <v>0.68749999999999967</v>
      </c>
      <c r="B98" s="85">
        <f t="shared" si="1"/>
        <v>165.1</v>
      </c>
      <c r="C98" s="85">
        <f t="shared" si="1"/>
        <v>255.10000000000002</v>
      </c>
      <c r="D98" s="127"/>
      <c r="E98" s="127"/>
      <c r="F98" s="127"/>
      <c r="G98" s="127"/>
      <c r="H98" s="127"/>
      <c r="I98" s="127"/>
      <c r="J98" s="127"/>
      <c r="K98" s="127"/>
      <c r="L98" s="127"/>
    </row>
    <row r="99" spans="1:12" ht="12.75" customHeight="1" x14ac:dyDescent="0.2">
      <c r="A99" s="59">
        <f>'MCC Data'!A97</f>
        <v>0.6979166666666663</v>
      </c>
      <c r="B99" s="85">
        <f t="shared" si="1"/>
        <v>163.79999999999998</v>
      </c>
      <c r="C99" s="85">
        <f t="shared" si="1"/>
        <v>249.8</v>
      </c>
      <c r="D99" s="127"/>
      <c r="E99" s="127"/>
      <c r="F99" s="127"/>
      <c r="G99" s="127"/>
      <c r="H99" s="127"/>
      <c r="I99" s="127"/>
      <c r="J99" s="127"/>
      <c r="K99" s="127"/>
      <c r="L99" s="127"/>
    </row>
    <row r="100" spans="1:12" ht="12.75" customHeight="1" x14ac:dyDescent="0.2">
      <c r="A100" s="59">
        <f>'MCC Data'!A98</f>
        <v>0.70833333333333293</v>
      </c>
      <c r="B100" s="85">
        <f t="shared" ref="B100:C104" si="2">SUM(B51:B54)</f>
        <v>167.89999999999998</v>
      </c>
      <c r="C100" s="85">
        <f t="shared" si="2"/>
        <v>251</v>
      </c>
      <c r="D100" s="127"/>
      <c r="E100" s="127"/>
      <c r="F100" s="127"/>
      <c r="G100" s="127"/>
      <c r="H100" s="127"/>
      <c r="I100" s="127"/>
      <c r="J100" s="127"/>
      <c r="K100" s="127"/>
      <c r="L100" s="127"/>
    </row>
    <row r="101" spans="1:12" ht="12.75" customHeight="1" x14ac:dyDescent="0.2">
      <c r="A101" s="60">
        <f>'MCC Data'!A99</f>
        <v>0.71874999999999956</v>
      </c>
      <c r="B101" s="85">
        <f t="shared" si="2"/>
        <v>173.1</v>
      </c>
      <c r="C101" s="85">
        <f t="shared" si="2"/>
        <v>259.90000000000003</v>
      </c>
      <c r="D101" s="127"/>
      <c r="E101" s="127"/>
      <c r="F101" s="127"/>
      <c r="G101" s="127"/>
      <c r="H101" s="127"/>
      <c r="I101" s="127"/>
      <c r="J101" s="127"/>
      <c r="K101" s="127"/>
      <c r="L101" s="127"/>
    </row>
    <row r="102" spans="1:12" ht="12.75" customHeight="1" x14ac:dyDescent="0.2">
      <c r="A102" s="59">
        <f>'MCC Data'!A100</f>
        <v>0.72916666666666619</v>
      </c>
      <c r="B102" s="85">
        <f t="shared" si="2"/>
        <v>161.5</v>
      </c>
      <c r="C102" s="85">
        <f t="shared" si="2"/>
        <v>245.1</v>
      </c>
      <c r="D102" s="127"/>
      <c r="E102" s="127"/>
      <c r="F102" s="127"/>
      <c r="G102" s="127"/>
      <c r="H102" s="127"/>
      <c r="I102" s="127"/>
      <c r="J102" s="127"/>
      <c r="K102" s="127"/>
      <c r="L102" s="127"/>
    </row>
    <row r="103" spans="1:12" ht="12.75" customHeight="1" x14ac:dyDescent="0.2">
      <c r="A103" s="59">
        <f>'MCC Data'!A101</f>
        <v>0.73958333333333282</v>
      </c>
      <c r="B103" s="85">
        <f t="shared" si="2"/>
        <v>164.7</v>
      </c>
      <c r="C103" s="85">
        <f t="shared" si="2"/>
        <v>239.60000000000002</v>
      </c>
      <c r="D103" s="127"/>
      <c r="E103" s="127"/>
      <c r="F103" s="127"/>
      <c r="G103" s="127"/>
      <c r="H103" s="127"/>
      <c r="I103" s="127"/>
      <c r="J103" s="127"/>
      <c r="K103" s="127"/>
      <c r="L103" s="127"/>
    </row>
    <row r="104" spans="1:12" ht="12.75" customHeight="1" thickBot="1" x14ac:dyDescent="0.25">
      <c r="A104" s="219">
        <f>'MCC Data'!A102</f>
        <v>0.74999999999999944</v>
      </c>
      <c r="B104" s="86">
        <f t="shared" si="2"/>
        <v>152.6</v>
      </c>
      <c r="C104" s="86">
        <f t="shared" si="2"/>
        <v>228.2</v>
      </c>
      <c r="D104" s="127"/>
      <c r="E104" s="127"/>
      <c r="F104" s="127"/>
      <c r="G104" s="127"/>
      <c r="H104" s="127"/>
      <c r="I104" s="127"/>
      <c r="J104" s="127"/>
      <c r="K104" s="127"/>
      <c r="L104" s="127"/>
    </row>
    <row r="105" spans="1:12" ht="12.75" customHeight="1" thickTop="1" x14ac:dyDescent="0.2"/>
    <row r="106" spans="1:12" ht="12.75" customHeight="1" x14ac:dyDescent="0.2"/>
  </sheetData>
  <sheetProtection selectLockedCells="1"/>
  <mergeCells count="2">
    <mergeCell ref="B9:C9"/>
    <mergeCell ref="B59:C59"/>
  </mergeCells>
  <dataValidations count="1">
    <dataValidation type="list" allowBlank="1" showInputMessage="1" showErrorMessage="1" sqref="P10">
      <formula1>$O$6:$O$8</formula1>
    </dataValidation>
  </dataValidations>
  <pageMargins left="0.70866141732283472" right="0.70866141732283472" top="0.74803149606299213" bottom="0.74803149606299213" header="0.31496062992125984" footer="0.31496062992125984"/>
  <pageSetup paperSize="9" scale="55" fitToHeight="2" orientation="portrait" r:id="rId1"/>
  <headerFooter>
    <oddFooter>&amp;L&amp;"Tahoma,Bold"www.intelligent-data-collection.com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9"/>
  <sheetViews>
    <sheetView view="pageBreakPreview" topLeftCell="B1" zoomScale="80" zoomScaleNormal="80" zoomScaleSheetLayoutView="80" workbookViewId="0">
      <selection activeCell="B1" sqref="B1"/>
    </sheetView>
  </sheetViews>
  <sheetFormatPr defaultRowHeight="12.75" x14ac:dyDescent="0.2"/>
  <cols>
    <col min="1" max="1" width="9.140625" hidden="1" customWidth="1"/>
    <col min="2" max="2" width="9.7109375" customWidth="1"/>
    <col min="3" max="3" width="9.5703125" customWidth="1"/>
    <col min="4" max="24" width="9.7109375" customWidth="1"/>
    <col min="26" max="26" width="9.140625" customWidth="1"/>
  </cols>
  <sheetData>
    <row r="1" spans="1:24" ht="27.75" customHeight="1" x14ac:dyDescent="0.2">
      <c r="B1" s="48" t="s">
        <v>7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12.75" customHeight="1" x14ac:dyDescent="0.2">
      <c r="A2" s="161" t="s">
        <v>62</v>
      </c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1:24" ht="12.75" customHeight="1" x14ac:dyDescent="0.2">
      <c r="A3" s="100" t="s">
        <v>94</v>
      </c>
      <c r="B3" s="125" t="s">
        <v>36</v>
      </c>
      <c r="C3" s="14"/>
      <c r="D3" s="51" t="str">
        <f>'Internal Control-Check Sheet'!G3</f>
        <v>Bristol City Council</v>
      </c>
      <c r="E3" s="51"/>
      <c r="F3" s="51"/>
      <c r="G3" s="125" t="s">
        <v>20</v>
      </c>
      <c r="H3" s="51"/>
      <c r="I3" s="53" t="str">
        <f>'Internal Control-Check Sheet'!L3</f>
        <v>09.07.2015</v>
      </c>
      <c r="J3" s="51"/>
      <c r="K3" s="3"/>
      <c r="L3" s="51"/>
      <c r="M3" s="51"/>
      <c r="N3" s="51"/>
      <c r="O3" s="51"/>
      <c r="P3" s="51"/>
      <c r="Q3" s="3"/>
      <c r="R3" s="2"/>
      <c r="S3" s="2"/>
      <c r="T3" s="3"/>
      <c r="U3" s="2"/>
      <c r="V3" s="2"/>
      <c r="W3" s="3"/>
      <c r="X3" s="51"/>
    </row>
    <row r="4" spans="1:24" ht="12.75" customHeight="1" x14ac:dyDescent="0.2">
      <c r="A4" s="100" t="s">
        <v>95</v>
      </c>
      <c r="B4" s="125" t="s">
        <v>15</v>
      </c>
      <c r="C4" s="14"/>
      <c r="D4" s="51" t="str">
        <f>'Internal Control-Check Sheet'!G4</f>
        <v>ID02343</v>
      </c>
      <c r="E4" s="51"/>
      <c r="F4" s="51"/>
      <c r="G4" s="125" t="s">
        <v>14</v>
      </c>
      <c r="H4" s="51"/>
      <c r="I4" s="53" t="str">
        <f>'Internal Control-Check Sheet'!L4</f>
        <v>Robertson Road</v>
      </c>
      <c r="J4" s="51"/>
      <c r="K4" s="3"/>
      <c r="L4" s="51"/>
      <c r="M4" s="51"/>
      <c r="N4" s="126"/>
      <c r="O4" s="127" t="s">
        <v>48</v>
      </c>
      <c r="P4" s="14" t="str">
        <f>'Internal Control-Check Sheet'!F9</f>
        <v>Robertson Road (S)</v>
      </c>
      <c r="R4" s="2"/>
      <c r="V4" s="2"/>
      <c r="W4" s="3"/>
      <c r="X4" s="51"/>
    </row>
    <row r="5" spans="1:24" ht="12.75" customHeight="1" x14ac:dyDescent="0.2">
      <c r="A5" s="100" t="s">
        <v>96</v>
      </c>
      <c r="B5" s="125" t="s">
        <v>13</v>
      </c>
      <c r="C5" s="14"/>
      <c r="D5" s="51" t="str">
        <f>'Internal Control-Check Sheet'!G5</f>
        <v>ANPR Site 18</v>
      </c>
      <c r="E5" s="51"/>
      <c r="F5" s="51"/>
      <c r="G5" s="125" t="s">
        <v>21</v>
      </c>
      <c r="H5" s="51"/>
      <c r="I5" s="53" t="str">
        <f>'Internal Control-Check Sheet'!L5</f>
        <v>Two-way Link Count</v>
      </c>
      <c r="J5" s="51"/>
      <c r="K5" s="3"/>
      <c r="L5" s="51"/>
      <c r="M5" s="51"/>
      <c r="N5" s="126"/>
      <c r="O5" s="127" t="s">
        <v>49</v>
      </c>
      <c r="P5" s="14" t="str">
        <f>'Internal Control-Check Sheet'!F10</f>
        <v>Robertson Road (N)</v>
      </c>
      <c r="R5" s="2"/>
      <c r="V5" s="2"/>
      <c r="W5" s="3"/>
      <c r="X5" s="51"/>
    </row>
    <row r="6" spans="1:24" ht="12.75" customHeight="1" x14ac:dyDescent="0.2">
      <c r="A6" s="100" t="s">
        <v>97</v>
      </c>
      <c r="B6" s="125"/>
      <c r="C6" s="14"/>
      <c r="D6" s="51"/>
      <c r="E6" s="51"/>
      <c r="F6" s="51"/>
      <c r="G6" s="125"/>
      <c r="H6" s="51"/>
      <c r="I6" s="53"/>
      <c r="J6" s="51"/>
      <c r="K6" s="3"/>
      <c r="L6" s="51"/>
      <c r="M6" s="51"/>
      <c r="N6" s="126"/>
      <c r="O6" s="127"/>
      <c r="P6" s="14"/>
      <c r="R6" s="2"/>
      <c r="S6" s="127"/>
      <c r="T6" s="14"/>
      <c r="V6" s="2"/>
      <c r="W6" s="3"/>
      <c r="X6" s="51"/>
    </row>
    <row r="7" spans="1:24" ht="12.75" customHeight="1" x14ac:dyDescent="0.2">
      <c r="A7" s="138">
        <f>'MCC Data'!A9</f>
        <v>0.29166666666666669</v>
      </c>
      <c r="B7" s="125"/>
      <c r="C7" s="14"/>
      <c r="D7" s="51"/>
      <c r="E7" s="51"/>
      <c r="F7" s="51"/>
      <c r="G7" s="125"/>
      <c r="H7" s="51"/>
      <c r="I7" s="53"/>
      <c r="J7" s="51"/>
      <c r="K7" s="3"/>
      <c r="L7" s="51"/>
      <c r="M7" s="51"/>
      <c r="N7" s="126"/>
      <c r="O7" s="52"/>
      <c r="P7" s="127"/>
      <c r="Q7" s="14"/>
      <c r="R7" s="2"/>
      <c r="T7" s="14"/>
      <c r="V7" s="2"/>
      <c r="W7" s="3"/>
      <c r="X7" s="51"/>
    </row>
    <row r="8" spans="1:24" ht="12.75" customHeight="1" x14ac:dyDescent="0.2">
      <c r="A8" s="138">
        <f>'MCC Data'!A10</f>
        <v>0.30208333333333337</v>
      </c>
      <c r="B8" s="125" t="s">
        <v>93</v>
      </c>
      <c r="D8" s="152" t="s">
        <v>62</v>
      </c>
      <c r="E8" s="145"/>
      <c r="F8" s="139" t="s">
        <v>98</v>
      </c>
      <c r="G8" s="354" t="s">
        <v>95</v>
      </c>
      <c r="H8" s="354"/>
      <c r="I8" s="354"/>
      <c r="J8" s="198" t="s">
        <v>159</v>
      </c>
      <c r="K8" s="10"/>
      <c r="L8" s="10"/>
      <c r="M8" s="10"/>
      <c r="N8" s="10"/>
      <c r="O8" s="10"/>
      <c r="P8" s="10"/>
      <c r="Q8" s="10"/>
      <c r="R8" s="10"/>
      <c r="T8" s="14"/>
      <c r="V8" s="2"/>
      <c r="W8" s="3"/>
      <c r="X8" s="51"/>
    </row>
    <row r="9" spans="1:24" ht="12.75" customHeight="1" x14ac:dyDescent="0.2">
      <c r="A9" s="138">
        <f>'MCC Data'!A11</f>
        <v>0.31250000000000006</v>
      </c>
      <c r="B9" s="125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24" ht="12.75" customHeight="1" x14ac:dyDescent="0.2">
      <c r="A10" s="138">
        <f>'MCC Data'!A12</f>
        <v>0.32291666666666674</v>
      </c>
      <c r="B10" s="125"/>
      <c r="C10" s="14"/>
      <c r="D10" s="51"/>
      <c r="E10" s="51"/>
      <c r="F10" s="51"/>
      <c r="G10" s="125"/>
      <c r="H10" s="51"/>
      <c r="I10" s="53"/>
      <c r="J10" s="51"/>
      <c r="K10" s="3"/>
      <c r="L10" s="51"/>
      <c r="M10" s="51"/>
      <c r="N10" s="126"/>
      <c r="O10" s="52"/>
      <c r="P10" s="127"/>
      <c r="Q10" s="14"/>
      <c r="R10" s="2"/>
    </row>
    <row r="11" spans="1:24" ht="12.75" customHeight="1" x14ac:dyDescent="0.2">
      <c r="A11" s="138">
        <f>'MCC Data'!A13</f>
        <v>0.33333333333333343</v>
      </c>
      <c r="B11" s="125" t="s">
        <v>116</v>
      </c>
      <c r="C11" s="14"/>
      <c r="D11" s="51"/>
      <c r="E11" s="51"/>
      <c r="F11" s="355" t="s">
        <v>80</v>
      </c>
      <c r="G11" s="356"/>
      <c r="H11" s="159" t="s">
        <v>87</v>
      </c>
      <c r="I11" s="175">
        <f>VLOOKUP(M11,'Internal Control-Check Sheet'!L102:M113,2,FALSE)</f>
        <v>0.37500000000000017</v>
      </c>
      <c r="J11" s="176" t="s">
        <v>88</v>
      </c>
      <c r="K11" s="177">
        <f>I11+0.010416</f>
        <v>0.38541600000000015</v>
      </c>
      <c r="L11" s="160" t="s">
        <v>102</v>
      </c>
      <c r="M11" s="186">
        <f>MAX('Internal Control-Check Sheet'!L102:L113)</f>
        <v>100</v>
      </c>
      <c r="N11" s="198" t="s">
        <v>161</v>
      </c>
      <c r="O11" s="127"/>
      <c r="P11" s="14"/>
      <c r="Q11" s="2"/>
    </row>
    <row r="12" spans="1:24" ht="12.75" customHeight="1" x14ac:dyDescent="0.2">
      <c r="A12" s="138">
        <f>'MCC Data'!A14</f>
        <v>0.34375000000000011</v>
      </c>
      <c r="C12" s="14"/>
      <c r="D12" s="51"/>
      <c r="E12" s="51"/>
      <c r="F12" s="350" t="s">
        <v>103</v>
      </c>
      <c r="G12" s="351"/>
      <c r="H12" s="170" t="s">
        <v>87</v>
      </c>
      <c r="I12" s="171">
        <f>VLOOKUP(M12,'Internal Control-Check Sheet'!L114:M137,2,FALSE)</f>
        <v>0.64583333333333315</v>
      </c>
      <c r="J12" s="172" t="s">
        <v>88</v>
      </c>
      <c r="K12" s="173">
        <f>I12+0.010416</f>
        <v>0.65624933333333313</v>
      </c>
      <c r="L12" s="174" t="s">
        <v>102</v>
      </c>
      <c r="M12" s="187">
        <f>MAX('Internal Control-Check Sheet'!L114:L137)</f>
        <v>111</v>
      </c>
      <c r="N12" s="198" t="s">
        <v>132</v>
      </c>
    </row>
    <row r="13" spans="1:24" ht="12.75" customHeight="1" x14ac:dyDescent="0.2">
      <c r="A13" s="138">
        <f>'MCC Data'!A15</f>
        <v>0.3541666666666668</v>
      </c>
      <c r="F13" s="352" t="s">
        <v>81</v>
      </c>
      <c r="G13" s="353"/>
      <c r="H13" s="170" t="s">
        <v>87</v>
      </c>
      <c r="I13" s="171">
        <f>VLOOKUP(M13,'Internal Control-Check Sheet'!L138:M149,2,FALSE)</f>
        <v>0.67708333333333304</v>
      </c>
      <c r="J13" s="172" t="s">
        <v>88</v>
      </c>
      <c r="K13" s="173">
        <f>I13+0.010416</f>
        <v>0.68749933333333302</v>
      </c>
      <c r="L13" s="174" t="s">
        <v>102</v>
      </c>
      <c r="M13" s="187">
        <f>MAX('Internal Control-Check Sheet'!L138:L149)</f>
        <v>129</v>
      </c>
      <c r="N13" s="198" t="s">
        <v>162</v>
      </c>
      <c r="Q13" s="10"/>
      <c r="R13" s="10"/>
      <c r="S13" s="10"/>
    </row>
    <row r="14" spans="1:24" ht="12.75" customHeight="1" x14ac:dyDescent="0.2">
      <c r="A14" s="138">
        <f>'MCC Data'!A16</f>
        <v>0.36458333333333348</v>
      </c>
      <c r="G14" s="105"/>
      <c r="H14" s="105"/>
      <c r="I14" s="105"/>
      <c r="J14" s="150"/>
      <c r="K14" s="151"/>
      <c r="L14" s="168"/>
      <c r="M14" s="105"/>
      <c r="N14" s="169"/>
      <c r="R14" s="10"/>
      <c r="S14" s="10"/>
    </row>
    <row r="15" spans="1:24" ht="12.75" customHeight="1" x14ac:dyDescent="0.2">
      <c r="A15" s="138">
        <f>'MCC Data'!A17</f>
        <v>0.37500000000000017</v>
      </c>
      <c r="B15" s="50"/>
      <c r="C15" s="52"/>
      <c r="D15" s="52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R15" s="10"/>
      <c r="S15" s="10"/>
      <c r="T15" s="10"/>
      <c r="U15" s="10"/>
      <c r="V15" s="10"/>
      <c r="W15" s="10"/>
    </row>
    <row r="16" spans="1:24" ht="12.75" customHeight="1" x14ac:dyDescent="0.2">
      <c r="A16" s="138">
        <f>'MCC Data'!A18</f>
        <v>0.38541666666666685</v>
      </c>
      <c r="B16" s="125" t="s">
        <v>104</v>
      </c>
      <c r="D16" s="152">
        <v>0.29166666666666669</v>
      </c>
      <c r="E16" s="198" t="s">
        <v>151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R16" s="10"/>
      <c r="S16" s="10"/>
      <c r="T16" s="10"/>
      <c r="U16" s="10"/>
      <c r="V16" s="10"/>
      <c r="W16" s="10"/>
      <c r="X16" s="10"/>
    </row>
    <row r="17" spans="1:24" ht="12.75" customHeight="1" x14ac:dyDescent="0.2">
      <c r="A17" s="138">
        <f>'MCC Data'!A19</f>
        <v>0.39583333333333354</v>
      </c>
      <c r="B17" s="10"/>
      <c r="C17" s="139"/>
      <c r="D17" s="10"/>
      <c r="E17" s="145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2.75" customHeight="1" x14ac:dyDescent="0.2">
      <c r="A18" s="138">
        <f>'MCC Data'!A20</f>
        <v>0.40625000000000022</v>
      </c>
      <c r="C18" s="10"/>
      <c r="D18" s="9" t="s">
        <v>100</v>
      </c>
      <c r="E18" s="10"/>
      <c r="F18" s="10"/>
      <c r="G18" s="10"/>
      <c r="H18" s="10"/>
      <c r="I18" s="10"/>
      <c r="L18" s="9" t="s">
        <v>99</v>
      </c>
      <c r="N18" s="10"/>
      <c r="O18" s="10"/>
      <c r="P18" s="10"/>
      <c r="Q18" s="10"/>
      <c r="R18" s="10"/>
      <c r="T18" s="10"/>
      <c r="U18" s="10"/>
      <c r="V18" s="10"/>
      <c r="W18" s="10"/>
      <c r="X18" s="10"/>
    </row>
    <row r="19" spans="1:24" ht="12.75" customHeight="1" x14ac:dyDescent="0.2">
      <c r="A19" s="138">
        <f>'MCC Data'!A21</f>
        <v>0.41666666666666691</v>
      </c>
      <c r="C19" s="10"/>
      <c r="D19" s="51"/>
      <c r="E19" s="349" t="s">
        <v>67</v>
      </c>
      <c r="F19" s="349"/>
      <c r="G19" s="51"/>
      <c r="H19" s="10"/>
      <c r="L19" s="51"/>
      <c r="M19" s="349" t="s">
        <v>67</v>
      </c>
      <c r="N19" s="349"/>
      <c r="O19" s="51"/>
      <c r="P19" s="10"/>
      <c r="T19" s="10"/>
      <c r="U19" s="10"/>
      <c r="V19" s="10"/>
      <c r="W19" s="10"/>
      <c r="X19" s="10"/>
    </row>
    <row r="20" spans="1:24" ht="12.75" customHeight="1" x14ac:dyDescent="0.2">
      <c r="A20" s="138">
        <f>'MCC Data'!A22</f>
        <v>0.42708333333333359</v>
      </c>
      <c r="C20" s="10"/>
      <c r="D20" s="142"/>
      <c r="E20" s="200" t="s">
        <v>64</v>
      </c>
      <c r="F20" s="249" t="s">
        <v>65</v>
      </c>
      <c r="G20" s="160" t="s">
        <v>8</v>
      </c>
      <c r="K20" s="10"/>
      <c r="L20" s="142"/>
      <c r="M20" s="200" t="s">
        <v>64</v>
      </c>
      <c r="N20" s="249" t="s">
        <v>65</v>
      </c>
      <c r="O20" s="160" t="s">
        <v>8</v>
      </c>
    </row>
    <row r="21" spans="1:24" ht="12.75" customHeight="1" x14ac:dyDescent="0.2">
      <c r="A21" s="138">
        <f>'MCC Data'!A23</f>
        <v>0.43750000000000028</v>
      </c>
      <c r="C21" s="348" t="s">
        <v>66</v>
      </c>
      <c r="D21" s="199" t="s">
        <v>64</v>
      </c>
      <c r="E21" s="179">
        <f>'Internal Control-Check Sheet'!G67</f>
        <v>0</v>
      </c>
      <c r="F21" s="213">
        <f>'Internal Control-Check Sheet'!H67</f>
        <v>25</v>
      </c>
      <c r="G21" s="178">
        <f>'Internal Control-Check Sheet'!I67</f>
        <v>25</v>
      </c>
      <c r="K21" s="348" t="s">
        <v>66</v>
      </c>
      <c r="L21" s="199" t="s">
        <v>64</v>
      </c>
      <c r="M21" s="182">
        <f>'Internal Control-Check Sheet'!M67</f>
        <v>0</v>
      </c>
      <c r="N21" s="216">
        <f>'Internal Control-Check Sheet'!N67</f>
        <v>0.08</v>
      </c>
      <c r="O21" s="181">
        <f>'Internal Control-Check Sheet'!O67</f>
        <v>0.08</v>
      </c>
    </row>
    <row r="22" spans="1:24" ht="12.75" customHeight="1" x14ac:dyDescent="0.2">
      <c r="A22" s="138">
        <f>'MCC Data'!A24</f>
        <v>0.44791666666666696</v>
      </c>
      <c r="C22" s="348"/>
      <c r="D22" s="248" t="s">
        <v>65</v>
      </c>
      <c r="E22" s="209">
        <f>'Internal Control-Check Sheet'!G68</f>
        <v>13</v>
      </c>
      <c r="F22" s="214">
        <f>'Internal Control-Check Sheet'!H68</f>
        <v>0</v>
      </c>
      <c r="G22" s="210">
        <f>'Internal Control-Check Sheet'!I68</f>
        <v>13</v>
      </c>
      <c r="K22" s="348"/>
      <c r="L22" s="248" t="s">
        <v>65</v>
      </c>
      <c r="M22" s="211">
        <f>'Internal Control-Check Sheet'!M68</f>
        <v>0</v>
      </c>
      <c r="N22" s="217">
        <f>'Internal Control-Check Sheet'!N68</f>
        <v>0</v>
      </c>
      <c r="O22" s="212">
        <f>'Internal Control-Check Sheet'!O68</f>
        <v>0</v>
      </c>
    </row>
    <row r="23" spans="1:24" ht="12.75" customHeight="1" x14ac:dyDescent="0.2">
      <c r="A23" s="138">
        <f>'MCC Data'!A25</f>
        <v>0.45833333333333365</v>
      </c>
      <c r="C23" s="10"/>
      <c r="D23" s="208" t="s">
        <v>8</v>
      </c>
      <c r="E23" s="180">
        <f>'Internal Control-Check Sheet'!G69</f>
        <v>13</v>
      </c>
      <c r="F23" s="215">
        <f>'Internal Control-Check Sheet'!H69</f>
        <v>25</v>
      </c>
      <c r="G23" s="147">
        <f>'Internal Control-Check Sheet'!I69</f>
        <v>38</v>
      </c>
      <c r="K23" s="10"/>
      <c r="L23" s="208" t="s">
        <v>8</v>
      </c>
      <c r="M23" s="183">
        <f>'Internal Control-Check Sheet'!M69</f>
        <v>0</v>
      </c>
      <c r="N23" s="218">
        <f>'Internal Control-Check Sheet'!N69</f>
        <v>0.08</v>
      </c>
      <c r="O23" s="148">
        <f>'Internal Control-Check Sheet'!O69</f>
        <v>5.2631578947368418E-2</v>
      </c>
    </row>
    <row r="24" spans="1:24" ht="12.75" customHeight="1" x14ac:dyDescent="0.2">
      <c r="A24" s="138">
        <f>'MCC Data'!A26</f>
        <v>0.46875000000000033</v>
      </c>
      <c r="C24" s="195"/>
      <c r="D24" s="105"/>
      <c r="E24" s="147"/>
      <c r="F24" s="147"/>
      <c r="G24" s="147"/>
      <c r="H24" s="147"/>
      <c r="I24" s="147"/>
      <c r="L24" s="195"/>
      <c r="M24" s="105"/>
      <c r="N24" s="148"/>
      <c r="O24" s="148"/>
      <c r="P24" s="148"/>
      <c r="Q24" s="148"/>
    </row>
    <row r="25" spans="1:24" ht="12.75" customHeight="1" x14ac:dyDescent="0.2">
      <c r="A25" s="138">
        <f>'MCC Data'!A27</f>
        <v>0.47916666666666702</v>
      </c>
      <c r="B25" s="10"/>
      <c r="C25" s="132"/>
      <c r="D25" s="144"/>
      <c r="E25" s="144"/>
      <c r="F25" s="144"/>
      <c r="G25" s="148"/>
      <c r="H25" s="10"/>
      <c r="I25" s="10"/>
      <c r="J25" s="132"/>
      <c r="K25" s="144"/>
      <c r="L25" s="144"/>
      <c r="M25" s="144"/>
      <c r="N25" s="148"/>
      <c r="O25" s="10"/>
      <c r="P25" s="10"/>
      <c r="R25" s="10"/>
      <c r="S25" s="10"/>
    </row>
    <row r="26" spans="1:24" ht="12.75" customHeight="1" x14ac:dyDescent="0.2">
      <c r="A26" s="138">
        <f>'MCC Data'!A28</f>
        <v>0.4895833333333337</v>
      </c>
      <c r="B26" s="125" t="s">
        <v>117</v>
      </c>
      <c r="C26" s="10"/>
      <c r="D26" s="10"/>
      <c r="E26" s="10"/>
      <c r="F26" s="355" t="s">
        <v>80</v>
      </c>
      <c r="G26" s="356"/>
      <c r="H26" s="159" t="s">
        <v>87</v>
      </c>
      <c r="I26" s="175">
        <f>VLOOKUP(M26,'Internal Control-Check Sheet'!V102:W113,2,FALSE)</f>
        <v>0.34375000000000011</v>
      </c>
      <c r="J26" s="176" t="s">
        <v>88</v>
      </c>
      <c r="K26" s="177">
        <f>I26+0.041666</f>
        <v>0.38541600000000009</v>
      </c>
      <c r="L26" s="160" t="s">
        <v>102</v>
      </c>
      <c r="M26" s="186">
        <f>MAX('Internal Control-Check Sheet'!V102:V113)</f>
        <v>369</v>
      </c>
      <c r="Q26" s="10"/>
      <c r="R26" s="10"/>
      <c r="S26" s="10"/>
    </row>
    <row r="27" spans="1:24" ht="12.75" customHeight="1" x14ac:dyDescent="0.2">
      <c r="A27" s="138">
        <f>'MCC Data'!A29</f>
        <v>0.50000000000000033</v>
      </c>
      <c r="C27" s="14"/>
      <c r="D27" s="51"/>
      <c r="E27" s="51"/>
      <c r="F27" s="350" t="s">
        <v>103</v>
      </c>
      <c r="G27" s="351"/>
      <c r="H27" s="170" t="s">
        <v>87</v>
      </c>
      <c r="I27" s="171">
        <f>VLOOKUP(M27,'Internal Control-Check Sheet'!V114:W137,2,FALSE)</f>
        <v>0.65624999999999978</v>
      </c>
      <c r="J27" s="172" t="s">
        <v>88</v>
      </c>
      <c r="K27" s="173">
        <f>I27+0.041666</f>
        <v>0.69791599999999976</v>
      </c>
      <c r="L27" s="174" t="s">
        <v>102</v>
      </c>
      <c r="M27" s="187">
        <f>MAX('Internal Control-Check Sheet'!V114:V137)</f>
        <v>449</v>
      </c>
      <c r="Q27" s="10"/>
      <c r="R27" s="10"/>
      <c r="S27" s="10"/>
    </row>
    <row r="28" spans="1:24" ht="12.75" customHeight="1" x14ac:dyDescent="0.2">
      <c r="A28" s="138">
        <f>'MCC Data'!A30</f>
        <v>0.51041666666666696</v>
      </c>
      <c r="C28" s="14"/>
      <c r="D28" s="51"/>
      <c r="E28" s="51"/>
      <c r="F28" s="352" t="s">
        <v>81</v>
      </c>
      <c r="G28" s="353"/>
      <c r="H28" s="170" t="s">
        <v>87</v>
      </c>
      <c r="I28" s="171">
        <f>VLOOKUP(M28,'Internal Control-Check Sheet'!V138:W146,2,FALSE)</f>
        <v>0.71874999999999956</v>
      </c>
      <c r="J28" s="172" t="s">
        <v>88</v>
      </c>
      <c r="K28" s="173">
        <f>I28+0.041666</f>
        <v>0.76041599999999954</v>
      </c>
      <c r="L28" s="174" t="s">
        <v>102</v>
      </c>
      <c r="M28" s="187">
        <f>MAX('Internal Control-Check Sheet'!V138:V146)</f>
        <v>454</v>
      </c>
      <c r="Q28" s="10"/>
      <c r="R28" s="10"/>
      <c r="S28" s="10"/>
      <c r="T28" s="10"/>
      <c r="U28" s="10"/>
      <c r="V28" s="10"/>
      <c r="W28" s="10"/>
      <c r="X28" s="10"/>
    </row>
    <row r="29" spans="1:24" ht="12.75" customHeight="1" x14ac:dyDescent="0.2">
      <c r="A29" s="138">
        <f>'MCC Data'!A31</f>
        <v>0.52083333333333359</v>
      </c>
      <c r="C29" s="14"/>
      <c r="D29" s="51"/>
      <c r="E29" s="51"/>
      <c r="G29" s="105"/>
      <c r="H29" s="105"/>
      <c r="I29" s="105"/>
      <c r="J29" s="150"/>
      <c r="K29" s="151"/>
      <c r="L29" s="168"/>
      <c r="M29" s="105"/>
      <c r="N29" s="169"/>
      <c r="R29" s="10"/>
      <c r="S29" s="10"/>
      <c r="T29" s="10"/>
      <c r="U29" s="10"/>
      <c r="V29" s="10"/>
      <c r="W29" s="10"/>
    </row>
    <row r="30" spans="1:24" ht="12.75" customHeight="1" x14ac:dyDescent="0.2">
      <c r="A30" s="138">
        <f>'MCC Data'!A32</f>
        <v>0.53125000000000022</v>
      </c>
      <c r="B30" s="50"/>
      <c r="C30" s="52"/>
      <c r="D30" s="52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10"/>
      <c r="S30" s="10"/>
      <c r="T30" s="10"/>
      <c r="U30" s="10"/>
      <c r="V30" s="10"/>
      <c r="W30" s="10"/>
    </row>
    <row r="31" spans="1:24" ht="12.75" customHeight="1" x14ac:dyDescent="0.2">
      <c r="A31" s="138">
        <f>'MCC Data'!A33</f>
        <v>0.54166666666666685</v>
      </c>
      <c r="B31" s="125" t="s">
        <v>104</v>
      </c>
      <c r="D31" s="152">
        <v>0.29166666666666669</v>
      </c>
      <c r="E31" s="198" t="s">
        <v>158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4" ht="12.75" customHeight="1" x14ac:dyDescent="0.2">
      <c r="A32" s="138">
        <f>'MCC Data'!A34</f>
        <v>0.55208333333333348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">
      <c r="A33" s="138">
        <f>'MCC Data'!A35</f>
        <v>0.56250000000000011</v>
      </c>
      <c r="C33" s="10"/>
      <c r="D33" s="9" t="s">
        <v>100</v>
      </c>
      <c r="E33" s="10"/>
      <c r="F33" s="10"/>
      <c r="G33" s="10"/>
      <c r="H33" s="10"/>
      <c r="L33" s="9" t="s">
        <v>99</v>
      </c>
      <c r="M33" s="10"/>
      <c r="N33" s="10"/>
      <c r="O33" s="10"/>
      <c r="P33" s="10"/>
      <c r="R33" s="10"/>
      <c r="S33" s="10"/>
      <c r="T33" s="10"/>
      <c r="U33" s="10"/>
      <c r="V33" s="10"/>
      <c r="W33" s="10"/>
      <c r="X33" s="10"/>
    </row>
    <row r="34" spans="1:24" ht="12.75" customHeight="1" x14ac:dyDescent="0.2">
      <c r="A34" s="138">
        <f>'MCC Data'!A36</f>
        <v>0.57291666666666674</v>
      </c>
      <c r="C34" s="10"/>
      <c r="D34" s="10"/>
      <c r="E34" s="349" t="s">
        <v>67</v>
      </c>
      <c r="F34" s="349"/>
      <c r="G34" s="10"/>
      <c r="L34" s="10"/>
      <c r="M34" s="349" t="s">
        <v>67</v>
      </c>
      <c r="N34" s="349"/>
      <c r="O34" s="10"/>
      <c r="T34" s="10"/>
      <c r="U34" s="10"/>
      <c r="V34" s="10"/>
      <c r="W34" s="10"/>
      <c r="X34" s="10"/>
    </row>
    <row r="35" spans="1:24" x14ac:dyDescent="0.2">
      <c r="A35" s="138">
        <f>'MCC Data'!A37</f>
        <v>0.58333333333333337</v>
      </c>
      <c r="C35" s="10"/>
      <c r="D35" s="142"/>
      <c r="E35" s="200" t="s">
        <v>64</v>
      </c>
      <c r="F35" s="249" t="s">
        <v>65</v>
      </c>
      <c r="G35" s="160" t="s">
        <v>8</v>
      </c>
      <c r="K35" s="10"/>
      <c r="L35" s="142"/>
      <c r="M35" s="200" t="s">
        <v>64</v>
      </c>
      <c r="N35" s="249" t="s">
        <v>65</v>
      </c>
      <c r="O35" s="160" t="s">
        <v>8</v>
      </c>
      <c r="T35" s="10"/>
      <c r="U35" s="10"/>
      <c r="V35" s="10"/>
    </row>
    <row r="36" spans="1:24" x14ac:dyDescent="0.2">
      <c r="A36" s="138">
        <f>'MCC Data'!A38</f>
        <v>0.59375</v>
      </c>
      <c r="C36" s="348" t="s">
        <v>66</v>
      </c>
      <c r="D36" s="199" t="s">
        <v>64</v>
      </c>
      <c r="E36" s="179">
        <f>'Internal Control-Check Sheet'!G95</f>
        <v>0</v>
      </c>
      <c r="F36" s="213">
        <f>'Internal Control-Check Sheet'!H95</f>
        <v>172</v>
      </c>
      <c r="G36" s="178">
        <f>'Internal Control-Check Sheet'!I95</f>
        <v>172</v>
      </c>
      <c r="K36" s="348" t="s">
        <v>66</v>
      </c>
      <c r="L36" s="199" t="s">
        <v>64</v>
      </c>
      <c r="M36" s="182">
        <f>'Internal Control-Check Sheet'!M95</f>
        <v>0</v>
      </c>
      <c r="N36" s="216">
        <f>'Internal Control-Check Sheet'!N95</f>
        <v>2.9069767441860465E-2</v>
      </c>
      <c r="O36" s="181">
        <f>'Internal Control-Check Sheet'!O95</f>
        <v>2.9069767441860465E-2</v>
      </c>
    </row>
    <row r="37" spans="1:24" x14ac:dyDescent="0.2">
      <c r="A37" s="138">
        <f>'MCC Data'!A39</f>
        <v>0.60416666666666663</v>
      </c>
      <c r="C37" s="348"/>
      <c r="D37" s="248" t="s">
        <v>65</v>
      </c>
      <c r="E37" s="209">
        <f>'Internal Control-Check Sheet'!G96</f>
        <v>62</v>
      </c>
      <c r="F37" s="214">
        <f>'Internal Control-Check Sheet'!H96</f>
        <v>0</v>
      </c>
      <c r="G37" s="210">
        <f>'Internal Control-Check Sheet'!I96</f>
        <v>62</v>
      </c>
      <c r="K37" s="348"/>
      <c r="L37" s="248" t="s">
        <v>65</v>
      </c>
      <c r="M37" s="211">
        <f>'Internal Control-Check Sheet'!M96</f>
        <v>3.2258064516129031E-2</v>
      </c>
      <c r="N37" s="217">
        <f>'Internal Control-Check Sheet'!N96</f>
        <v>0</v>
      </c>
      <c r="O37" s="212">
        <f>'Internal Control-Check Sheet'!O96</f>
        <v>3.2258064516129031E-2</v>
      </c>
    </row>
    <row r="38" spans="1:24" x14ac:dyDescent="0.2">
      <c r="A38" s="138">
        <f>'MCC Data'!A40</f>
        <v>0.61458333333333326</v>
      </c>
      <c r="C38" s="10"/>
      <c r="D38" s="208" t="s">
        <v>8</v>
      </c>
      <c r="E38" s="180">
        <f>'Internal Control-Check Sheet'!G97</f>
        <v>62</v>
      </c>
      <c r="F38" s="215">
        <f>'Internal Control-Check Sheet'!H97</f>
        <v>172</v>
      </c>
      <c r="G38" s="147">
        <f>'Internal Control-Check Sheet'!I97</f>
        <v>234</v>
      </c>
      <c r="K38" s="10"/>
      <c r="L38" s="208" t="s">
        <v>8</v>
      </c>
      <c r="M38" s="183">
        <f>'Internal Control-Check Sheet'!M97</f>
        <v>3.2258064516129031E-2</v>
      </c>
      <c r="N38" s="218">
        <f>'Internal Control-Check Sheet'!N97</f>
        <v>2.9069767441860465E-2</v>
      </c>
      <c r="O38" s="148">
        <f>'Internal Control-Check Sheet'!O97</f>
        <v>2.9914529914529916E-2</v>
      </c>
    </row>
    <row r="39" spans="1:24" ht="12.75" customHeight="1" x14ac:dyDescent="0.2">
      <c r="A39" s="138">
        <f>'MCC Data'!A41</f>
        <v>0.62499999999999989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24" ht="12.75" customHeight="1" x14ac:dyDescent="0.2">
      <c r="A40" s="138">
        <f>'MCC Data'!A42</f>
        <v>0.63541666666666652</v>
      </c>
      <c r="B40" s="10"/>
      <c r="C40" s="10"/>
      <c r="D40" s="207" t="s">
        <v>130</v>
      </c>
      <c r="E40" s="132"/>
      <c r="F40" s="132"/>
      <c r="G40" s="132"/>
      <c r="H40" s="132"/>
      <c r="I40" s="195"/>
      <c r="J40" s="132"/>
      <c r="K40" s="164"/>
      <c r="L40" s="164"/>
      <c r="M40" s="10"/>
      <c r="N40" s="10"/>
      <c r="O40" s="10"/>
      <c r="P40" s="10"/>
      <c r="Q40" s="10"/>
      <c r="R40" s="10"/>
      <c r="S40" s="10"/>
    </row>
    <row r="41" spans="1:24" x14ac:dyDescent="0.2">
      <c r="A41" s="138">
        <f>'MCC Data'!A43</f>
        <v>0.64583333333333315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24" ht="12.75" customHeight="1" x14ac:dyDescent="0.2">
      <c r="A42" s="138">
        <f>'MCC Data'!A44</f>
        <v>0.65624999999999978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24" x14ac:dyDescent="0.2">
      <c r="A43" s="138">
        <f>'MCC Data'!A45</f>
        <v>0.66666666666666641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24" x14ac:dyDescent="0.2">
      <c r="A44" s="138">
        <f>'MCC Data'!A46</f>
        <v>0.67708333333333304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3.5" customHeight="1" x14ac:dyDescent="0.2">
      <c r="A45" s="138">
        <f>'MCC Data'!A47</f>
        <v>0.68749999999999967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3.5" customHeight="1" x14ac:dyDescent="0.2">
      <c r="A46" s="138">
        <f>'MCC Data'!A48</f>
        <v>0.6979166666666663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3.5" customHeight="1" x14ac:dyDescent="0.2">
      <c r="A47" s="138">
        <f>'MCC Data'!A49</f>
        <v>0.70833333333333293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3.5" customHeight="1" x14ac:dyDescent="0.2">
      <c r="A48" s="138">
        <f>'MCC Data'!A50</f>
        <v>0.71874999999999956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x14ac:dyDescent="0.2">
      <c r="A49" s="138">
        <f>'MCC Data'!A51</f>
        <v>0.72916666666666619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3.5" customHeight="1" x14ac:dyDescent="0.2">
      <c r="A50" s="138">
        <f>'MCC Data'!A52</f>
        <v>0.73958333333333282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x14ac:dyDescent="0.2">
      <c r="A51" s="138">
        <f>'MCC Data'!A53</f>
        <v>0.74999999999999944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3.5" customHeight="1" x14ac:dyDescent="0.2">
      <c r="A52" s="138">
        <f>'MCC Data'!A54</f>
        <v>0.76041666666666607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3.5" customHeight="1" x14ac:dyDescent="0.2">
      <c r="A53" s="138">
        <f>'MCC Data'!A55</f>
        <v>0.7708333333333327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3.5" customHeight="1" x14ac:dyDescent="0.2">
      <c r="A54" s="138">
        <f>'MCC Data'!A56</f>
        <v>0.78124999999999933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3.5" customHeight="1" x14ac:dyDescent="0.2">
      <c r="A56" s="138">
        <f>'MCC Data'!A58</f>
        <v>0.29166666666666669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3.5" customHeight="1" x14ac:dyDescent="0.2">
      <c r="A57" s="138">
        <f>'MCC Data'!A59</f>
        <v>0.30208333333333337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3.5" customHeight="1" x14ac:dyDescent="0.2">
      <c r="A58" s="138">
        <f>'MCC Data'!A60</f>
        <v>0.31250000000000006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3.5" customHeight="1" x14ac:dyDescent="0.2">
      <c r="A59" s="138">
        <f>'MCC Data'!A61</f>
        <v>0.32291666666666674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3.5" customHeight="1" x14ac:dyDescent="0.2">
      <c r="A60" s="138">
        <f>'MCC Data'!A62</f>
        <v>0.33333333333333343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3.5" customHeight="1" x14ac:dyDescent="0.2">
      <c r="A61" s="138">
        <f>'MCC Data'!A63</f>
        <v>0.34375000000000011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3.5" customHeight="1" x14ac:dyDescent="0.2">
      <c r="A62" s="138">
        <f>'MCC Data'!A64</f>
        <v>0.3541666666666668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3.5" customHeight="1" x14ac:dyDescent="0.2">
      <c r="A63" s="138">
        <f>'MCC Data'!A65</f>
        <v>0.36458333333333348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3.5" customHeight="1" x14ac:dyDescent="0.2">
      <c r="A64" s="138">
        <f>'MCC Data'!A66</f>
        <v>0.37500000000000017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3.5" customHeight="1" x14ac:dyDescent="0.2">
      <c r="A65" s="138">
        <f>'MCC Data'!A67</f>
        <v>0.38541666666666685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3.5" customHeight="1" x14ac:dyDescent="0.2">
      <c r="A66" s="138">
        <f>'MCC Data'!A68</f>
        <v>0.39583333333333354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3.5" customHeight="1" x14ac:dyDescent="0.2">
      <c r="A67" s="138">
        <f>'MCC Data'!A69</f>
        <v>0.40625000000000022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ht="13.5" customHeight="1" x14ac:dyDescent="0.2">
      <c r="A68" s="138">
        <f>'MCC Data'!A70</f>
        <v>0.41666666666666691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spans="1:24" ht="13.5" customHeight="1" x14ac:dyDescent="0.2">
      <c r="A69" s="138">
        <f>'MCC Data'!A71</f>
        <v>0.42708333333333359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3.5" customHeight="1" x14ac:dyDescent="0.2">
      <c r="A70" s="138">
        <f>'MCC Data'!A72</f>
        <v>0.43750000000000028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3.5" customHeight="1" x14ac:dyDescent="0.2">
      <c r="A71" s="138">
        <f>'MCC Data'!A73</f>
        <v>0.44791666666666696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3.5" customHeight="1" x14ac:dyDescent="0.2">
      <c r="A72" s="138">
        <f>'MCC Data'!A74</f>
        <v>0.45833333333333365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3.5" customHeight="1" x14ac:dyDescent="0.2">
      <c r="A73" s="138">
        <f>'MCC Data'!A75</f>
        <v>0.46875000000000033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3.5" customHeight="1" x14ac:dyDescent="0.2">
      <c r="A74" s="138">
        <f>'MCC Data'!A76</f>
        <v>0.47916666666666702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3.5" customHeight="1" x14ac:dyDescent="0.2">
      <c r="A75" s="138">
        <f>'MCC Data'!A77</f>
        <v>0.4895833333333337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3.5" customHeight="1" x14ac:dyDescent="0.2">
      <c r="A76" s="138">
        <f>'MCC Data'!A78</f>
        <v>0.50000000000000033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3.5" customHeight="1" x14ac:dyDescent="0.2">
      <c r="A77" s="138">
        <f>'MCC Data'!A79</f>
        <v>0.51041666666666696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3.5" customHeight="1" x14ac:dyDescent="0.2">
      <c r="A78" s="138">
        <f>'MCC Data'!A80</f>
        <v>0.52083333333333359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3.5" customHeight="1" x14ac:dyDescent="0.2">
      <c r="A79" s="138">
        <f>'MCC Data'!A81</f>
        <v>0.53125000000000022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3.5" customHeight="1" x14ac:dyDescent="0.2">
      <c r="A80" s="138">
        <f>'MCC Data'!A82</f>
        <v>0.54166666666666685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3.5" customHeight="1" x14ac:dyDescent="0.2">
      <c r="A81" s="138">
        <f>'MCC Data'!A83</f>
        <v>0.55208333333333348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3.5" customHeight="1" x14ac:dyDescent="0.2">
      <c r="A82" s="138">
        <f>'MCC Data'!A84</f>
        <v>0.56250000000000011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3.5" customHeight="1" x14ac:dyDescent="0.2">
      <c r="A83" s="138">
        <f>'MCC Data'!A85</f>
        <v>0.57291666666666674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3.5" customHeight="1" x14ac:dyDescent="0.2">
      <c r="A84" s="138">
        <f>'MCC Data'!A86</f>
        <v>0.58333333333333337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3.5" customHeight="1" x14ac:dyDescent="0.2">
      <c r="A85" s="138">
        <f>'MCC Data'!A87</f>
        <v>0.59375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3.5" customHeight="1" x14ac:dyDescent="0.2">
      <c r="A86" s="138">
        <f>'MCC Data'!A88</f>
        <v>0.60416666666666663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3.5" customHeight="1" x14ac:dyDescent="0.2">
      <c r="A87" s="138">
        <f>'MCC Data'!A89</f>
        <v>0.61458333333333326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3.5" customHeight="1" x14ac:dyDescent="0.2">
      <c r="A88" s="138">
        <f>'MCC Data'!A90</f>
        <v>0.62499999999999989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3.5" customHeight="1" x14ac:dyDescent="0.2">
      <c r="A89" s="138">
        <f>'MCC Data'!A91</f>
        <v>0.63541666666666652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3.5" customHeight="1" x14ac:dyDescent="0.2">
      <c r="A90" s="138">
        <f>'MCC Data'!A92</f>
        <v>0.64583333333333315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3.5" customHeight="1" x14ac:dyDescent="0.2">
      <c r="A91" s="138">
        <f>'MCC Data'!A93</f>
        <v>0.65624999999999978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3.5" customHeight="1" x14ac:dyDescent="0.2">
      <c r="A92" s="138">
        <f>'MCC Data'!A94</f>
        <v>0.66666666666666641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3.5" customHeight="1" x14ac:dyDescent="0.2">
      <c r="A93" s="138">
        <f>'MCC Data'!A95</f>
        <v>0.67708333333333304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3.5" customHeight="1" x14ac:dyDescent="0.2">
      <c r="A94" s="138">
        <f>'MCC Data'!A96</f>
        <v>0.68749999999999967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3.5" customHeight="1" x14ac:dyDescent="0.2">
      <c r="A95" s="138">
        <f>'MCC Data'!A97</f>
        <v>0.6979166666666663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3.5" customHeight="1" x14ac:dyDescent="0.2">
      <c r="A96" s="138">
        <f>'MCC Data'!A98</f>
        <v>0.70833333333333293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3.5" customHeight="1" x14ac:dyDescent="0.2">
      <c r="A97" s="138">
        <f>'MCC Data'!A99</f>
        <v>0.71874999999999956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ht="13.5" customHeight="1" x14ac:dyDescent="0.2">
      <c r="A98" s="138">
        <f>'MCC Data'!A100</f>
        <v>0.72916666666666619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spans="1:24" ht="13.5" customHeight="1" x14ac:dyDescent="0.2">
      <c r="A99" s="138">
        <f>'MCC Data'!A101</f>
        <v>0.73958333333333282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spans="1:24" ht="13.5" customHeight="1" x14ac:dyDescent="0.2">
      <c r="A100" s="138">
        <f>'MCC Data'!A102</f>
        <v>0.74999999999999944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spans="1:24" x14ac:dyDescent="0.2">
      <c r="A101" s="138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2.75" customHeight="1" x14ac:dyDescent="0.2">
      <c r="A102" s="138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x14ac:dyDescent="0.2">
      <c r="A103" s="138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x14ac:dyDescent="0.2">
      <c r="A104" s="138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2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4" x14ac:dyDescent="0.2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1:24" ht="12.75" customHeight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1:24" x14ac:dyDescent="0.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2:24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2:24" x14ac:dyDescent="0.2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2:24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2:24" x14ac:dyDescent="0.2">
      <c r="T116" s="10"/>
      <c r="U116" s="10"/>
      <c r="V116" s="10"/>
      <c r="W116" s="10"/>
      <c r="X116" s="10"/>
    </row>
    <row r="117" spans="2:24" x14ac:dyDescent="0.2">
      <c r="T117" s="10"/>
      <c r="U117" s="10"/>
      <c r="V117" s="10"/>
      <c r="W117" s="10"/>
      <c r="X117" s="10"/>
    </row>
    <row r="118" spans="2:24" x14ac:dyDescent="0.2">
      <c r="T118" s="10"/>
      <c r="U118" s="10"/>
      <c r="V118" s="10"/>
      <c r="W118" s="10"/>
      <c r="X118" s="10"/>
    </row>
    <row r="119" spans="2:24" x14ac:dyDescent="0.2">
      <c r="T119" s="10"/>
      <c r="U119" s="10"/>
      <c r="V119" s="10"/>
      <c r="W119" s="10"/>
      <c r="X119" s="10"/>
    </row>
    <row r="120" spans="2:24" ht="12.75" customHeight="1" x14ac:dyDescent="0.2"/>
    <row r="129" ht="12.75" customHeight="1" x14ac:dyDescent="0.2"/>
  </sheetData>
  <dataConsolidate/>
  <mergeCells count="15">
    <mergeCell ref="G8:I8"/>
    <mergeCell ref="F11:G11"/>
    <mergeCell ref="F12:G12"/>
    <mergeCell ref="F13:G13"/>
    <mergeCell ref="F26:G26"/>
    <mergeCell ref="E19:F19"/>
    <mergeCell ref="C36:C37"/>
    <mergeCell ref="K36:K37"/>
    <mergeCell ref="C21:C22"/>
    <mergeCell ref="M19:N19"/>
    <mergeCell ref="M34:N34"/>
    <mergeCell ref="E34:F34"/>
    <mergeCell ref="K21:K22"/>
    <mergeCell ref="F27:G27"/>
    <mergeCell ref="F28:G28"/>
  </mergeCells>
  <conditionalFormatting sqref="E23:F23 E24:H24">
    <cfRule type="top10" dxfId="11" priority="10" rank="1"/>
  </conditionalFormatting>
  <conditionalFormatting sqref="G21:G22">
    <cfRule type="top10" dxfId="10" priority="110" rank="1"/>
  </conditionalFormatting>
  <conditionalFormatting sqref="O21:O22">
    <cfRule type="top10" dxfId="9" priority="111" rank="1"/>
  </conditionalFormatting>
  <conditionalFormatting sqref="O36:O37">
    <cfRule type="top10" dxfId="8" priority="114" rank="1"/>
  </conditionalFormatting>
  <conditionalFormatting sqref="G36:G37">
    <cfRule type="top10" dxfId="7" priority="115" rank="1"/>
  </conditionalFormatting>
  <conditionalFormatting sqref="E21:F22">
    <cfRule type="top10" dxfId="6" priority="122" rank="1"/>
  </conditionalFormatting>
  <conditionalFormatting sqref="N24:P24 M23:N23">
    <cfRule type="top10" dxfId="5" priority="123" rank="1"/>
  </conditionalFormatting>
  <conditionalFormatting sqref="M21:N22">
    <cfRule type="top10" dxfId="4" priority="125" rank="1"/>
  </conditionalFormatting>
  <conditionalFormatting sqref="E38:F38">
    <cfRule type="top10" dxfId="3" priority="126" rank="1"/>
  </conditionalFormatting>
  <conditionalFormatting sqref="E36:F37">
    <cfRule type="top10" dxfId="2" priority="127" rank="1"/>
  </conditionalFormatting>
  <conditionalFormatting sqref="M38:N38">
    <cfRule type="top10" dxfId="1" priority="128" rank="1"/>
  </conditionalFormatting>
  <conditionalFormatting sqref="M36:N37">
    <cfRule type="top10" dxfId="0" priority="129" rank="1"/>
  </conditionalFormatting>
  <dataValidations count="4">
    <dataValidation type="list" allowBlank="1" showInputMessage="1" showErrorMessage="1" sqref="D8">
      <formula1>$A$2:$A$3</formula1>
    </dataValidation>
    <dataValidation type="list" allowBlank="1" showInputMessage="1" showErrorMessage="1" sqref="G8">
      <formula1>$A$4:$A$6</formula1>
    </dataValidation>
    <dataValidation type="list" allowBlank="1" showInputMessage="1" showErrorMessage="1" sqref="D16">
      <formula1>$A$7:$A$54</formula1>
    </dataValidation>
    <dataValidation type="list" allowBlank="1" showInputMessage="1" showErrorMessage="1" sqref="D31">
      <formula1>$A$56:$A$100</formula1>
    </dataValidation>
  </dataValidations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&amp;L&amp;"Tahoma,Bold"www.intelligent-data-collection.com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Front Cover</vt:lpstr>
      <vt:lpstr>QA &amp; Issue Sheet</vt:lpstr>
      <vt:lpstr>Contents Page</vt:lpstr>
      <vt:lpstr>Internal Control-Check Sheet</vt:lpstr>
      <vt:lpstr>Location Plan &amp; Summary</vt:lpstr>
      <vt:lpstr>MCC Data</vt:lpstr>
      <vt:lpstr>PCU Data</vt:lpstr>
      <vt:lpstr>Movement Matrices</vt:lpstr>
      <vt:lpstr>'Contents Page'!Print_Area</vt:lpstr>
      <vt:lpstr>'Front Cover'!Print_Area</vt:lpstr>
      <vt:lpstr>'Internal Control-Check Sheet'!Print_Area</vt:lpstr>
      <vt:lpstr>'Location Plan &amp; Summary'!Print_Area</vt:lpstr>
      <vt:lpstr>'MCC Data'!Print_Area</vt:lpstr>
      <vt:lpstr>'Movement Matrices'!Print_Area</vt:lpstr>
      <vt:lpstr>'PCU Data'!Print_Area</vt:lpstr>
      <vt:lpstr>'QA &amp; Issue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</cp:lastModifiedBy>
  <cp:lastPrinted>2013-11-11T16:08:20Z</cp:lastPrinted>
  <dcterms:created xsi:type="dcterms:W3CDTF">2007-10-12T16:47:14Z</dcterms:created>
  <dcterms:modified xsi:type="dcterms:W3CDTF">2015-08-17T17:20:39Z</dcterms:modified>
</cp:coreProperties>
</file>