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055" windowHeight="7935" tabRatio="901" firstSheet="54" activeTab="62"/>
  </bookViews>
  <sheets>
    <sheet name="1-8" sheetId="804" state="hidden" r:id="rId1"/>
    <sheet name="HA NAM 1-8" sheetId="805" state="hidden" r:id="rId2"/>
    <sheet name="2-8" sheetId="806" state="hidden" r:id="rId3"/>
    <sheet name="HA NAM 2-8" sheetId="807" state="hidden" r:id="rId4"/>
    <sheet name="3-8" sheetId="808" state="hidden" r:id="rId5"/>
    <sheet name="HA NAM 3-8" sheetId="809" state="hidden" r:id="rId6"/>
    <sheet name="4-8" sheetId="810" state="hidden" r:id="rId7"/>
    <sheet name="HA NAM 4-8 " sheetId="811" state="hidden" r:id="rId8"/>
    <sheet name="5-8" sheetId="812" state="hidden" r:id="rId9"/>
    <sheet name="HA NAM 5-8" sheetId="813" state="hidden" r:id="rId10"/>
    <sheet name="8-8" sheetId="814" state="hidden" r:id="rId11"/>
    <sheet name="HA NAM 8-8" sheetId="815" state="hidden" r:id="rId12"/>
    <sheet name="9-8" sheetId="816" state="hidden" r:id="rId13"/>
    <sheet name="HA NAM 9-8" sheetId="817" state="hidden" r:id="rId14"/>
    <sheet name="10-8" sheetId="818" state="hidden" r:id="rId15"/>
    <sheet name="HA NAM 10-8" sheetId="819" state="hidden" r:id="rId16"/>
    <sheet name="11-8" sheetId="820" state="hidden" r:id="rId17"/>
    <sheet name="HA NAM 11-8" sheetId="821" state="hidden" r:id="rId18"/>
    <sheet name="12-8" sheetId="822" state="hidden" r:id="rId19"/>
    <sheet name="HA NAM 12-8" sheetId="823" state="hidden" r:id="rId20"/>
    <sheet name="3-7" sheetId="1896" r:id="rId21"/>
    <sheet name="HA NAM 3-7" sheetId="1897" r:id="rId22"/>
    <sheet name="4-7" sheetId="1898" r:id="rId23"/>
    <sheet name="HA NAM 4-7" sheetId="1899" r:id="rId24"/>
    <sheet name="5-7" sheetId="1900" r:id="rId25"/>
    <sheet name="HA NAM 5-7" sheetId="1901" r:id="rId26"/>
    <sheet name="6-7" sheetId="1902" r:id="rId27"/>
    <sheet name="HA NAM 6-7" sheetId="1903" r:id="rId28"/>
    <sheet name="7-7" sheetId="1904" r:id="rId29"/>
    <sheet name="HA NAM 7-7" sheetId="1905" r:id="rId30"/>
    <sheet name="9-7" sheetId="1906" r:id="rId31"/>
    <sheet name="HA NAM 9-7" sheetId="1907" r:id="rId32"/>
    <sheet name="10-7" sheetId="1908" r:id="rId33"/>
    <sheet name="HA NAM 10-7" sheetId="1909" r:id="rId34"/>
    <sheet name="11-7" sheetId="1910" r:id="rId35"/>
    <sheet name="HA NAM 11-7" sheetId="1911" r:id="rId36"/>
    <sheet name="12-7" sheetId="1912" r:id="rId37"/>
    <sheet name="HA NAM 12-7" sheetId="1913" r:id="rId38"/>
    <sheet name="13-7" sheetId="1914" r:id="rId39"/>
    <sheet name="HA NAM 13-7" sheetId="1915" r:id="rId40"/>
    <sheet name="14-7" sheetId="1916" r:id="rId41"/>
    <sheet name="HA NAM 14-7" sheetId="1917" r:id="rId42"/>
    <sheet name="16-7" sheetId="1918" r:id="rId43"/>
    <sheet name="HA NAM 16-7" sheetId="1919" r:id="rId44"/>
    <sheet name="17-7" sheetId="1920" r:id="rId45"/>
    <sheet name="HA NAM 17-7" sheetId="1921" r:id="rId46"/>
    <sheet name="18-7" sheetId="1922" r:id="rId47"/>
    <sheet name="HA NAM 18-7" sheetId="1923" r:id="rId48"/>
    <sheet name="19-7" sheetId="1924" r:id="rId49"/>
    <sheet name="HA NAM 19-7" sheetId="1925" r:id="rId50"/>
    <sheet name="20-7" sheetId="1926" r:id="rId51"/>
    <sheet name="HA NAM 20-7" sheetId="1927" r:id="rId52"/>
    <sheet name="21-7" sheetId="1928" r:id="rId53"/>
    <sheet name="HA NAM 21-7" sheetId="1929" r:id="rId54"/>
    <sheet name="23-7" sheetId="1930" r:id="rId55"/>
    <sheet name="HA NAM 23-7" sheetId="1931" r:id="rId56"/>
    <sheet name="24-7" sheetId="1932" r:id="rId57"/>
    <sheet name="HA NAM 24-7" sheetId="1933" r:id="rId58"/>
    <sheet name="25-7" sheetId="1934" r:id="rId59"/>
    <sheet name="HA NAM 25-7" sheetId="1935" r:id="rId60"/>
    <sheet name="26-7" sheetId="1936" r:id="rId61"/>
    <sheet name="HA NAM 26-7" sheetId="1937" r:id="rId62"/>
    <sheet name="27-7" sheetId="1938" r:id="rId63"/>
    <sheet name="HA NAM 27-7" sheetId="1939" r:id="rId64"/>
    <sheet name="30-7" sheetId="1940" r:id="rId65"/>
    <sheet name="HA NAM 30-7" sheetId="1941" r:id="rId66"/>
    <sheet name="31-7" sheetId="1942" r:id="rId67"/>
    <sheet name="HA NAM 31-7" sheetId="1943" r:id="rId68"/>
    <sheet name="Sheet2" sheetId="1945" r:id="rId69"/>
  </sheets>
  <calcPr calcId="125725"/>
  <fileRecoveryPr autoRecover="0"/>
</workbook>
</file>

<file path=xl/calcChain.xml><?xml version="1.0" encoding="utf-8"?>
<calcChain xmlns="http://schemas.openxmlformats.org/spreadsheetml/2006/main">
  <c r="C8" i="1938"/>
  <c r="C13"/>
  <c r="C38" i="1943" l="1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42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S1"/>
  <c r="J1"/>
  <c r="C38" i="1941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40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8" i="1939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38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AD2"/>
  <c r="S2"/>
  <c r="J2"/>
  <c r="AN2" s="1"/>
  <c r="AD1"/>
  <c r="S1"/>
  <c r="J1"/>
  <c r="AO1" s="1"/>
  <c r="C38" i="1937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36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B33" i="1935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34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33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32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31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30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29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28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8" i="1927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26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8" i="1925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24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23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22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8" i="1921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20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P27" i="1918"/>
  <c r="P28"/>
  <c r="P29"/>
  <c r="C38" i="1919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18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L29"/>
  <c r="G29"/>
  <c r="C29"/>
  <c r="AS28"/>
  <c r="AA28"/>
  <c r="X28"/>
  <c r="C28"/>
  <c r="AS27"/>
  <c r="AF27"/>
  <c r="AA27"/>
  <c r="X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17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16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15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14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8" i="1913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12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G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G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7" i="1911"/>
  <c r="C38"/>
  <c r="G37" i="1910"/>
  <c r="G29"/>
  <c r="C36" i="1911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10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6" i="1909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08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6" i="1907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06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6" i="1905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04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6" i="1903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02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6" i="1901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900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D1"/>
  <c r="S1"/>
  <c r="J1"/>
  <c r="AO1" s="1"/>
  <c r="C36" i="1899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898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C36" i="1897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H2"/>
  <c r="AP54" i="1896"/>
  <c r="AS53"/>
  <c r="AF50"/>
  <c r="AP49"/>
  <c r="AF49"/>
  <c r="AA49"/>
  <c r="X49"/>
  <c r="X48"/>
  <c r="AS47"/>
  <c r="AA47"/>
  <c r="X47"/>
  <c r="AS46"/>
  <c r="AA46"/>
  <c r="X46"/>
  <c r="X45"/>
  <c r="AV44"/>
  <c r="AP44"/>
  <c r="AA44"/>
  <c r="AA43"/>
  <c r="AP42"/>
  <c r="AA42"/>
  <c r="AV41"/>
  <c r="AA41"/>
  <c r="AV40"/>
  <c r="AA40"/>
  <c r="AV39"/>
  <c r="AA39"/>
  <c r="AV38"/>
  <c r="AA38"/>
  <c r="C38"/>
  <c r="AV37"/>
  <c r="AA37"/>
  <c r="AV36"/>
  <c r="AA36"/>
  <c r="C36"/>
  <c r="AV35"/>
  <c r="AA35"/>
  <c r="X34"/>
  <c r="L34"/>
  <c r="G34"/>
  <c r="C34"/>
  <c r="AS33"/>
  <c r="AA33"/>
  <c r="X33"/>
  <c r="L33"/>
  <c r="C33"/>
  <c r="AA32"/>
  <c r="L32"/>
  <c r="C32"/>
  <c r="AP31"/>
  <c r="AA31"/>
  <c r="L31"/>
  <c r="C31"/>
  <c r="AS30"/>
  <c r="AF30"/>
  <c r="AA30"/>
  <c r="X30"/>
  <c r="L30"/>
  <c r="C30"/>
  <c r="AP29"/>
  <c r="AF29"/>
  <c r="AA29"/>
  <c r="P29"/>
  <c r="L29"/>
  <c r="C29"/>
  <c r="AS28"/>
  <c r="AA28"/>
  <c r="X28"/>
  <c r="P28"/>
  <c r="C28"/>
  <c r="AS27"/>
  <c r="AF27"/>
  <c r="AA27"/>
  <c r="X27"/>
  <c r="P27"/>
  <c r="L27"/>
  <c r="C27"/>
  <c r="AV26"/>
  <c r="AS26"/>
  <c r="AP26"/>
  <c r="AI26"/>
  <c r="AF26"/>
  <c r="AA26"/>
  <c r="X26"/>
  <c r="U26"/>
  <c r="C26"/>
  <c r="AP25"/>
  <c r="AF25"/>
  <c r="G25"/>
  <c r="C25"/>
  <c r="AS24"/>
  <c r="AA24"/>
  <c r="X24"/>
  <c r="U24"/>
  <c r="L24"/>
  <c r="G24"/>
  <c r="C24"/>
  <c r="AS23"/>
  <c r="AA23"/>
  <c r="X23"/>
  <c r="U23"/>
  <c r="C23"/>
  <c r="AI22"/>
  <c r="AA22"/>
  <c r="X22"/>
  <c r="L22"/>
  <c r="C22"/>
  <c r="AI21"/>
  <c r="AA21"/>
  <c r="X21"/>
  <c r="L21"/>
  <c r="C21"/>
  <c r="AI20"/>
  <c r="AA20"/>
  <c r="X20"/>
  <c r="L20"/>
  <c r="C20"/>
  <c r="AS19"/>
  <c r="AI19"/>
  <c r="AF19"/>
  <c r="AA19"/>
  <c r="X19"/>
  <c r="L19"/>
  <c r="G19"/>
  <c r="C19"/>
  <c r="AP18"/>
  <c r="AI18"/>
  <c r="AF18"/>
  <c r="AA18"/>
  <c r="X18"/>
  <c r="L18"/>
  <c r="G18"/>
  <c r="C18"/>
  <c r="AS17"/>
  <c r="AP17"/>
  <c r="AI17"/>
  <c r="AF17"/>
  <c r="AA17"/>
  <c r="X17"/>
  <c r="L17"/>
  <c r="G17"/>
  <c r="C17"/>
  <c r="AI16"/>
  <c r="AF16"/>
  <c r="AA16"/>
  <c r="X16"/>
  <c r="L16"/>
  <c r="G16"/>
  <c r="C16"/>
  <c r="AI15"/>
  <c r="AF15"/>
  <c r="AA15"/>
  <c r="X15"/>
  <c r="L15"/>
  <c r="G15"/>
  <c r="C15"/>
  <c r="AI14"/>
  <c r="AF14"/>
  <c r="AA14"/>
  <c r="X14"/>
  <c r="L14"/>
  <c r="G14"/>
  <c r="C14"/>
  <c r="AI13"/>
  <c r="AF13"/>
  <c r="AA13"/>
  <c r="X13"/>
  <c r="L13"/>
  <c r="G13"/>
  <c r="C13"/>
  <c r="AV12"/>
  <c r="AS12"/>
  <c r="AP12"/>
  <c r="AA12"/>
  <c r="X12"/>
  <c r="L12"/>
  <c r="G12"/>
  <c r="C12"/>
  <c r="AI11"/>
  <c r="AF11"/>
  <c r="AA11"/>
  <c r="L11"/>
  <c r="C11"/>
  <c r="AP10"/>
  <c r="AF10"/>
  <c r="AA10"/>
  <c r="X10"/>
  <c r="U10"/>
  <c r="L10"/>
  <c r="G10"/>
  <c r="C10"/>
  <c r="AI9"/>
  <c r="AA9"/>
  <c r="X9"/>
  <c r="L9"/>
  <c r="C9"/>
  <c r="AI8"/>
  <c r="U8"/>
  <c r="L8"/>
  <c r="C8"/>
  <c r="AD2"/>
  <c r="S2"/>
  <c r="J2"/>
  <c r="AN2" s="1"/>
  <c r="AO1"/>
  <c r="AD1"/>
  <c r="S1"/>
  <c r="J1"/>
  <c r="A5" i="816"/>
  <c r="H2" i="823"/>
  <c r="P22" i="822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H2" i="821"/>
  <c r="P22" i="820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T51" i="818"/>
  <c r="H2" i="819"/>
  <c r="P22" i="818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T51" i="816"/>
  <c r="H2" i="817"/>
  <c r="P22" i="816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T51" i="814"/>
  <c r="T50"/>
  <c r="T49"/>
  <c r="H2" i="815"/>
  <c r="P22" i="814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H2" i="813"/>
  <c r="P22" i="812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H2" i="811"/>
  <c r="P22" i="810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H2" i="809"/>
  <c r="P22" i="808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H2" i="807"/>
  <c r="P22" i="806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  <c r="H2" i="805"/>
  <c r="P22" i="804"/>
  <c r="P21"/>
  <c r="P20"/>
  <c r="P19"/>
  <c r="P18"/>
  <c r="P17"/>
  <c r="P16"/>
  <c r="P15"/>
  <c r="P14"/>
  <c r="G14"/>
  <c r="P13"/>
  <c r="G13"/>
  <c r="P12"/>
  <c r="G12"/>
  <c r="P11"/>
  <c r="G11"/>
  <c r="P10"/>
  <c r="G10"/>
  <c r="P9"/>
  <c r="G9"/>
  <c r="P8"/>
  <c r="G8"/>
  <c r="AC2"/>
  <c r="S2"/>
  <c r="J2"/>
  <c r="AC1"/>
  <c r="S1"/>
  <c r="J1"/>
</calcChain>
</file>

<file path=xl/sharedStrings.xml><?xml version="1.0" encoding="utf-8"?>
<sst xmlns="http://schemas.openxmlformats.org/spreadsheetml/2006/main" count="12047" uniqueCount="426">
  <si>
    <t>Tên phụ tùng</t>
  </si>
  <si>
    <t>53105-KPH-9501</t>
  </si>
  <si>
    <t>PS-CD</t>
  </si>
  <si>
    <t>pcs</t>
  </si>
  <si>
    <t>Số lượng</t>
  </si>
  <si>
    <t>Số thùng</t>
  </si>
  <si>
    <t>Số túi</t>
  </si>
  <si>
    <t>thùng</t>
  </si>
  <si>
    <t>túi</t>
  </si>
  <si>
    <t>24701-KWW-6212</t>
  </si>
  <si>
    <t>46500-KWW-C003</t>
  </si>
  <si>
    <t>V2AF 51</t>
  </si>
  <si>
    <t>V2AF 52</t>
  </si>
  <si>
    <t>V2AF 53</t>
  </si>
  <si>
    <t>V2AF 54</t>
  </si>
  <si>
    <t>V2AF 58</t>
  </si>
  <si>
    <t>53105-KWB-6000</t>
  </si>
  <si>
    <t>53125-KWB-6000</t>
  </si>
  <si>
    <t>53105-KWW-6401</t>
  </si>
  <si>
    <t>53125-KWW-6401</t>
  </si>
  <si>
    <t>44311-KWN-9000</t>
  </si>
  <si>
    <t>53102-KZY-7001</t>
  </si>
  <si>
    <t>50503-KWN-9000</t>
  </si>
  <si>
    <t>44311-KWN-7000</t>
  </si>
  <si>
    <t>53212-GGZ-J000</t>
  </si>
  <si>
    <t>50503-GGZ-J000</t>
  </si>
  <si>
    <t>44311-GGZ-J000</t>
  </si>
  <si>
    <t>53210-GGC-9000</t>
  </si>
  <si>
    <t>53211-GAZ-9802</t>
  </si>
  <si>
    <t>53183-KVB-9003</t>
  </si>
  <si>
    <t>53102-KWN-7101</t>
  </si>
  <si>
    <t>Trương Trọng Nam</t>
  </si>
  <si>
    <t>Lê Đại Nam</t>
  </si>
  <si>
    <t>06-DCC</t>
  </si>
  <si>
    <t>Số xe:</t>
  </si>
  <si>
    <t>Người giao hàng:</t>
  </si>
  <si>
    <t>Nguyễn Hữu Đang</t>
  </si>
  <si>
    <t>15384-178-0003</t>
  </si>
  <si>
    <t>19217-GET-3002</t>
  </si>
  <si>
    <t>19416-KZL-9300</t>
  </si>
  <si>
    <t>22115-KPH-9003</t>
  </si>
  <si>
    <t>22116-KPH-9001</t>
  </si>
  <si>
    <t>22820-KPH-7000</t>
  </si>
  <si>
    <t>22820-KYZ-9000</t>
  </si>
  <si>
    <t>23112-GCE-9003</t>
  </si>
  <si>
    <t>28300-K57-V000</t>
  </si>
  <si>
    <t>42311-K29-9000</t>
  </si>
  <si>
    <t>42312-KWN-7000</t>
  </si>
  <si>
    <t>44620-GJA-J000</t>
  </si>
  <si>
    <t>46500-KVR-V100</t>
  </si>
  <si>
    <t>47665-KWN-6700</t>
  </si>
  <si>
    <t>50301-GN5-9013</t>
  </si>
  <si>
    <t>50302-GN5-9006</t>
  </si>
  <si>
    <t>53102-K57-V000</t>
  </si>
  <si>
    <t>53104-GGC-9002</t>
  </si>
  <si>
    <t>53104-K29-9000</t>
  </si>
  <si>
    <t>53104-KPH-9501</t>
  </si>
  <si>
    <t>53108-KR3-7704</t>
  </si>
  <si>
    <t>53125-KYZ-9000</t>
  </si>
  <si>
    <t>53210-KVR-C000</t>
  </si>
  <si>
    <t>53215-KVR-C000</t>
  </si>
  <si>
    <t>53211-GN5-9003</t>
  </si>
  <si>
    <t>53212-GN5-9005</t>
  </si>
  <si>
    <t>Số lượng (PCS)</t>
  </si>
  <si>
    <t>PS-CD : V2AE02-V2AF02</t>
  </si>
  <si>
    <t>PS-CD : V2AF03</t>
  </si>
  <si>
    <t>PS-CD: V2AF04</t>
  </si>
  <si>
    <t>PS-CD: V2AF40</t>
  </si>
  <si>
    <t>Số lượng    ( PCS)</t>
  </si>
  <si>
    <t>Số lượng  ( PCS)</t>
  </si>
  <si>
    <t>Số lượng   ( PCS)</t>
  </si>
  <si>
    <t>Số lượng     ( PCS)</t>
  </si>
  <si>
    <t>PS-CD: V2AF02</t>
  </si>
  <si>
    <t>90741-003-0103</t>
  </si>
  <si>
    <t>53220-GN5-8501</t>
  </si>
  <si>
    <t>53220-GN5-9002</t>
  </si>
  <si>
    <t>77202-ME5-0000</t>
  </si>
  <si>
    <t>90301-K03-N301</t>
  </si>
  <si>
    <t>90305-GEE-7101</t>
  </si>
  <si>
    <t>90305-KWW-6400</t>
  </si>
  <si>
    <t>90344-KEV-9002</t>
  </si>
  <si>
    <t>90431-GN5-9102</t>
  </si>
  <si>
    <t>90677-KAN-T002</t>
  </si>
  <si>
    <t>90741-KVY-9002</t>
  </si>
  <si>
    <t>94303-03050</t>
  </si>
  <si>
    <t>28300-KYZ-G000</t>
  </si>
  <si>
    <t>PS-CD:V2AF05</t>
  </si>
  <si>
    <t>PS-CD: V2AE05</t>
  </si>
  <si>
    <t>Số lượng      ( PCS)</t>
  </si>
  <si>
    <t>46500-K57-V000</t>
  </si>
  <si>
    <t>PS-CD : V2AE03-V2AF03</t>
  </si>
  <si>
    <t>V2AF 57</t>
  </si>
  <si>
    <t>bán buôn</t>
  </si>
  <si>
    <t>50302-GN5 PTTT</t>
  </si>
  <si>
    <t>53212-GN5 PTTT</t>
  </si>
  <si>
    <t>50302-GN5-PTTT</t>
  </si>
  <si>
    <t>53212-GN5-PTTT</t>
  </si>
  <si>
    <t>94303-PTTT</t>
  </si>
  <si>
    <t>53215-KVR-PTTT</t>
  </si>
  <si>
    <t>Số lượng ( PCS)</t>
  </si>
  <si>
    <t>28300-K56-N000</t>
  </si>
  <si>
    <t>61304-KWN-9800</t>
  </si>
  <si>
    <t>90305-GK8-0002</t>
  </si>
  <si>
    <t>90521028-0002</t>
  </si>
  <si>
    <t>V2AE 73</t>
  </si>
  <si>
    <t>44620-GGZ-J000</t>
  </si>
  <si>
    <t xml:space="preserve">Thanh toán ngoài </t>
  </si>
  <si>
    <t>13371-KVY</t>
  </si>
  <si>
    <t>22109-KZL-9300</t>
  </si>
  <si>
    <t>BẢNG KÊ XUẤT HÀNG THÁNG 04 NĂM 2016 - HÀ NAM</t>
  </si>
  <si>
    <t>BẢNG KÊ XUẤT HÀNG THÁNG 04 NĂM 2016 - PHỤ TÙNG THAY THẾ</t>
  </si>
  <si>
    <t>BẢNG KÊ XUẤT HÀNG THÁNG 07 NĂM 2016</t>
  </si>
  <si>
    <t>53209-GAH-0003</t>
  </si>
  <si>
    <t>90677-KAN-T003</t>
  </si>
  <si>
    <t>13371-KVY-9002H1</t>
  </si>
  <si>
    <t>22102-KVY-9003</t>
  </si>
  <si>
    <t>42303-K56-N100</t>
  </si>
  <si>
    <t>42620-K56-N100</t>
  </si>
  <si>
    <t>28300-K89A-V002</t>
  </si>
  <si>
    <t>Ngày 1 tháng 8 năm 2016</t>
  </si>
  <si>
    <t>1300+21 type2</t>
  </si>
  <si>
    <t>2000+21 type2</t>
  </si>
  <si>
    <t>100+18 type2</t>
  </si>
  <si>
    <t>3type2</t>
  </si>
  <si>
    <t>2000+18 type2</t>
  </si>
  <si>
    <t>1200+36 type2</t>
  </si>
  <si>
    <t>4000+36 type2</t>
  </si>
  <si>
    <t>2600+36 type2</t>
  </si>
  <si>
    <t>2600+22 type2</t>
  </si>
  <si>
    <t>600+18 type2</t>
  </si>
  <si>
    <t>23200+129 type2</t>
  </si>
  <si>
    <t>6 type2</t>
  </si>
  <si>
    <t>1000+6 type2</t>
  </si>
  <si>
    <t>50305-GE8</t>
  </si>
  <si>
    <t>12 type2</t>
  </si>
  <si>
    <t>2000+12 type2</t>
  </si>
  <si>
    <t>15600+54 type2</t>
  </si>
  <si>
    <t>100+200</t>
  </si>
  <si>
    <t>200 type2</t>
  </si>
  <si>
    <t>100+100 type2</t>
  </si>
  <si>
    <t>3600+100 type2</t>
  </si>
  <si>
    <t>250+100 type2</t>
  </si>
  <si>
    <t>200+6+100</t>
  </si>
  <si>
    <t>1000+1000( cửa 72)</t>
  </si>
  <si>
    <t>50301-GN5</t>
  </si>
  <si>
    <t>50302-GN5</t>
  </si>
  <si>
    <t>53211-GN5</t>
  </si>
  <si>
    <t>53212-GN5</t>
  </si>
  <si>
    <t>53105-KPH-6900</t>
  </si>
  <si>
    <t>Ngày 2 tháng 8 năm 2016</t>
  </si>
  <si>
    <t>200+100</t>
  </si>
  <si>
    <t>1000 ( cửa 72)</t>
  </si>
  <si>
    <t>Ngày 3 tháng 8 năm 2016</t>
  </si>
  <si>
    <t>1100+8 type2</t>
  </si>
  <si>
    <t>1100+7 type2</t>
  </si>
  <si>
    <t>1850+8 type2</t>
  </si>
  <si>
    <t>Ngày 4 tháng 8 năm 2016</t>
  </si>
  <si>
    <t>17506-GFM</t>
  </si>
  <si>
    <t>17514-GFM</t>
  </si>
  <si>
    <t>600( cửa 72)</t>
  </si>
  <si>
    <t>Ngày 5 tháng 8 năm 2016</t>
  </si>
  <si>
    <t>6100+3 type2</t>
  </si>
  <si>
    <t>100+400</t>
  </si>
  <si>
    <t>200 AF+1000</t>
  </si>
  <si>
    <t>90741-003</t>
  </si>
  <si>
    <t>22102-GFM</t>
  </si>
  <si>
    <t>22102-KVY</t>
  </si>
  <si>
    <t>22113-GFM</t>
  </si>
  <si>
    <t>22113-KVY</t>
  </si>
  <si>
    <t>23112-GCE</t>
  </si>
  <si>
    <t>28300-KYZ</t>
  </si>
  <si>
    <t>46500-K07-9401</t>
  </si>
  <si>
    <t>50301-KCW</t>
  </si>
  <si>
    <t>50302-KCW</t>
  </si>
  <si>
    <t>53102-K57</t>
  </si>
  <si>
    <t>53102-KVB-T001</t>
  </si>
  <si>
    <t>53102-KZY</t>
  </si>
  <si>
    <t>53104-GGC</t>
  </si>
  <si>
    <t>53104-K29</t>
  </si>
  <si>
    <t>53104-KPH</t>
  </si>
  <si>
    <t>53105-KWB</t>
  </si>
  <si>
    <t>53108-KR3</t>
  </si>
  <si>
    <t>53125-KWB</t>
  </si>
  <si>
    <t>53125-KYZ</t>
  </si>
  <si>
    <t>53209-GAH</t>
  </si>
  <si>
    <t>53210-KCW</t>
  </si>
  <si>
    <t>53210-KVR</t>
  </si>
  <si>
    <t>53211-KCW</t>
  </si>
  <si>
    <t>53212-KCW</t>
  </si>
  <si>
    <t>53215-KCW</t>
  </si>
  <si>
    <t>53215-KVR</t>
  </si>
  <si>
    <t>90431-GN5</t>
  </si>
  <si>
    <t>90677-KAN</t>
  </si>
  <si>
    <t>28293-333</t>
  </si>
  <si>
    <t>28333-KK0</t>
  </si>
  <si>
    <t>53105-KWW</t>
  </si>
  <si>
    <t>53125-KWW</t>
  </si>
  <si>
    <t>90305-GK8</t>
  </si>
  <si>
    <t>90305-KWW-A000</t>
  </si>
  <si>
    <t>90521-028-0002</t>
  </si>
  <si>
    <t>Ngày 8 tháng 8 năm 2016</t>
  </si>
  <si>
    <t>200 AF</t>
  </si>
  <si>
    <t>200 AF+400</t>
  </si>
  <si>
    <t>Ngày 9 tháng 8 năm 2016</t>
  </si>
  <si>
    <t>1200+2</t>
  </si>
  <si>
    <t>900+10</t>
  </si>
  <si>
    <t>900+30</t>
  </si>
  <si>
    <t>200+10</t>
  </si>
  <si>
    <t>Ngày 10 tháng 8 năm 2016</t>
  </si>
  <si>
    <t>200AF</t>
  </si>
  <si>
    <t>200AF+400</t>
  </si>
  <si>
    <t>3050+150</t>
  </si>
  <si>
    <t>2150+3</t>
  </si>
  <si>
    <t>1000+50</t>
  </si>
  <si>
    <t>Ngày 11 tháng 8 năm 2016</t>
  </si>
  <si>
    <t>Ngày 12 tháng 8 năm 2016</t>
  </si>
  <si>
    <t>200+100+820</t>
  </si>
  <si>
    <t xml:space="preserve">Quy cách </t>
  </si>
  <si>
    <r>
      <t xml:space="preserve">Số xe: </t>
    </r>
    <r>
      <rPr>
        <b/>
        <sz val="10"/>
        <rFont val="Times New Roman"/>
        <family val="1"/>
      </rPr>
      <t>1 (20C- 00337)</t>
    </r>
  </si>
  <si>
    <r>
      <t xml:space="preserve">Số xe: </t>
    </r>
    <r>
      <rPr>
        <b/>
        <sz val="10"/>
        <rFont val="Times New Roman"/>
        <family val="1"/>
      </rPr>
      <t>2 (20L - 3262)</t>
    </r>
  </si>
  <si>
    <r>
      <t xml:space="preserve">Số xe: 3 </t>
    </r>
    <r>
      <rPr>
        <b/>
        <sz val="10"/>
        <rFont val="Times New Roman"/>
        <family val="1"/>
      </rPr>
      <t>(20M - 0385)</t>
    </r>
  </si>
  <si>
    <t>3 (20M- 0385)</t>
  </si>
  <si>
    <t>PS-CD: V2AF40-V2AE40</t>
  </si>
  <si>
    <t>PS-CD: V2AF04-V2AE04</t>
  </si>
  <si>
    <t>V2AF 51-V2AE51</t>
  </si>
  <si>
    <t>V2AF 52-2AE52</t>
  </si>
  <si>
    <t>V2AF 53-V2AE53</t>
  </si>
  <si>
    <t>V2AF 54-V2AE54</t>
  </si>
  <si>
    <t>V2AF 58-V2AE58</t>
  </si>
  <si>
    <t>V2AF 57-V2AE57</t>
  </si>
  <si>
    <t>Thực xuất</t>
  </si>
  <si>
    <t>THỦ KHO                       DÁN TEM                     ĐÓNG HÀNG</t>
  </si>
  <si>
    <t>THỦ KHO              DÁN TEM              ĐÓNG HÀNG</t>
  </si>
  <si>
    <t>THỦ KHO        DÁN TEM          ĐÓNG HÀNG</t>
  </si>
  <si>
    <t>THỦ KHO       DÁN TEM      ĐÓNG HÀNG</t>
  </si>
  <si>
    <t>28300-K89-V000</t>
  </si>
  <si>
    <t>90344-KRB-9002</t>
  </si>
  <si>
    <t>77202-ME5-0001</t>
  </si>
  <si>
    <t>23112-GCE-9002</t>
  </si>
  <si>
    <t>44311-K12-V000</t>
  </si>
  <si>
    <t>44620-K97F-T001</t>
  </si>
  <si>
    <t>90439-KWZ-9002</t>
  </si>
  <si>
    <t>44312-KZR-6000</t>
  </si>
  <si>
    <t>61104-KCC-9401</t>
  </si>
  <si>
    <t>14451-KVB-S501</t>
  </si>
  <si>
    <r>
      <t xml:space="preserve">Thời gian xuất hàng : </t>
    </r>
    <r>
      <rPr>
        <b/>
        <sz val="10"/>
        <rFont val="Times New Roman"/>
        <family val="1"/>
      </rPr>
      <t xml:space="preserve"> từ 8h10 =&gt; 8h50</t>
    </r>
  </si>
  <si>
    <r>
      <t xml:space="preserve">Thời gian xuất hàng : </t>
    </r>
    <r>
      <rPr>
        <b/>
        <sz val="10"/>
        <rFont val="Times New Roman"/>
        <family val="1"/>
      </rPr>
      <t xml:space="preserve"> từ 7h30 =&gt; 8h10</t>
    </r>
  </si>
  <si>
    <r>
      <t xml:space="preserve">Thời gian xuất hàng : </t>
    </r>
    <r>
      <rPr>
        <b/>
        <sz val="10"/>
        <rFont val="Times New Roman"/>
        <family val="1"/>
      </rPr>
      <t xml:space="preserve"> từ 8h50 =&gt; 9h30</t>
    </r>
  </si>
  <si>
    <t>44620-K97-T000</t>
  </si>
  <si>
    <t>19416-K36-H000</t>
  </si>
  <si>
    <t>42311-K96-V002</t>
  </si>
  <si>
    <t>53102-K97-T000</t>
  </si>
  <si>
    <t>81144-K97-T000</t>
  </si>
  <si>
    <t>81321-K97-T000</t>
  </si>
  <si>
    <t>PS-CD : V2AF03-V2MC03-V2MC05</t>
  </si>
  <si>
    <t>PS-CD: V2AF02-V2AE02
( SÁNG)</t>
  </si>
  <si>
    <t>PS-CD: V2AF02-V2AE02
( CHIỀU )</t>
  </si>
  <si>
    <t>PS-CD : V2AE03-V2AF03
( SÁNG )</t>
  </si>
  <si>
    <t>PS-CD : V2AE02-V2AF02
( CHỀU )</t>
  </si>
  <si>
    <t>Số lượng
( PCS)</t>
  </si>
  <si>
    <t>THỦ KHO       DÁN TEM     ĐÓNG HÀNG</t>
  </si>
  <si>
    <t>PS-CD:V2AF05 - V2AE05</t>
  </si>
  <si>
    <t>53212-GN5-9005 ( PTTT )</t>
  </si>
  <si>
    <t>53215-KVR-C000 ( PTTT )</t>
  </si>
  <si>
    <t>61104-KCC-9401 ( PTTT )</t>
  </si>
  <si>
    <t>14451-KZR-6000</t>
  </si>
  <si>
    <t>BẢNG KÊ XUẤT HÀNG THÁNG 1 NĂM 2018</t>
  </si>
  <si>
    <t>BẢNG KÊ XUẤT HÀNG THÁNG 1 NĂM 2018 - HÀ NAM</t>
  </si>
  <si>
    <t>BẢNG KÊ XUẤT HÀNG THÁNG 1 NĂM  2018-PTTT</t>
  </si>
  <si>
    <t>42311-K96-V001</t>
  </si>
  <si>
    <t>90401-K48-A000</t>
  </si>
  <si>
    <t>Quy cách</t>
  </si>
  <si>
    <t>50302-GN5-9006 ( PTTT )</t>
  </si>
  <si>
    <t>14775-KVY-9003</t>
  </si>
  <si>
    <t>17506-GFM-9000</t>
  </si>
  <si>
    <t>17514-GFM-9000</t>
  </si>
  <si>
    <t>53183-K97-A100</t>
  </si>
  <si>
    <t>90401-KWN-9000</t>
  </si>
  <si>
    <t>90505-KPH-8804</t>
  </si>
  <si>
    <t>23802-GN5-9104</t>
  </si>
  <si>
    <t>42313-GBG-B202</t>
  </si>
  <si>
    <t>90302-KWW-A002</t>
  </si>
  <si>
    <t>22109-K44P-V800</t>
  </si>
  <si>
    <t>Ngày 3 tháng 7 năm 2018</t>
  </si>
  <si>
    <t>800+2</t>
  </si>
  <si>
    <t>1000+2</t>
  </si>
  <si>
    <t>400+430+1</t>
  </si>
  <si>
    <r>
      <t>800</t>
    </r>
    <r>
      <rPr>
        <sz val="8"/>
        <rFont val="Times New Roman"/>
        <family val="1"/>
      </rPr>
      <t>+30type2</t>
    </r>
  </si>
  <si>
    <r>
      <t>600</t>
    </r>
    <r>
      <rPr>
        <sz val="8"/>
        <rFont val="Times New Roman"/>
        <family val="1"/>
      </rPr>
      <t>+30type2</t>
    </r>
  </si>
  <si>
    <t>Ngày 4 tháng 7 năm 2018</t>
  </si>
  <si>
    <t>50120-KVG-9000</t>
  </si>
  <si>
    <t>22102-GFM-9700</t>
  </si>
  <si>
    <t>50302-KCW-8702</t>
  </si>
  <si>
    <t>53209-GAH-0002</t>
  </si>
  <si>
    <t>53211-KCW-8702</t>
  </si>
  <si>
    <t>90302-K29MV802</t>
  </si>
  <si>
    <t>390type2</t>
  </si>
  <si>
    <r>
      <t>1800</t>
    </r>
    <r>
      <rPr>
        <sz val="8"/>
        <rFont val="Calibri"/>
        <family val="2"/>
        <scheme val="minor"/>
      </rPr>
      <t>+16type2</t>
    </r>
  </si>
  <si>
    <r>
      <t>1800</t>
    </r>
    <r>
      <rPr>
        <sz val="8"/>
        <rFont val="Calibri"/>
        <family val="2"/>
        <scheme val="minor"/>
      </rPr>
      <t>+13type2</t>
    </r>
  </si>
  <si>
    <r>
      <t>15000</t>
    </r>
    <r>
      <rPr>
        <sz val="8"/>
        <rFont val="Calibri"/>
        <family val="2"/>
        <scheme val="minor"/>
      </rPr>
      <t>+78type2</t>
    </r>
  </si>
  <si>
    <r>
      <t>400</t>
    </r>
    <r>
      <rPr>
        <sz val="8"/>
        <rFont val="Calibri"/>
        <family val="2"/>
        <scheme val="minor"/>
      </rPr>
      <t>+13type2</t>
    </r>
  </si>
  <si>
    <r>
      <t>800</t>
    </r>
    <r>
      <rPr>
        <sz val="8"/>
        <rFont val="Calibri"/>
        <family val="2"/>
        <scheme val="minor"/>
      </rPr>
      <t>+26type2</t>
    </r>
  </si>
  <si>
    <r>
      <t>2400</t>
    </r>
    <r>
      <rPr>
        <sz val="8"/>
        <color theme="1"/>
        <rFont val="Calibri"/>
        <family val="2"/>
        <scheme val="minor"/>
      </rPr>
      <t>+10type2</t>
    </r>
  </si>
  <si>
    <t>Ngày 5 tháng 7 năm 2018</t>
  </si>
  <si>
    <r>
      <t>1000</t>
    </r>
    <r>
      <rPr>
        <sz val="8"/>
        <rFont val="Times New Roman"/>
        <family val="1"/>
      </rPr>
      <t>+6type2</t>
    </r>
  </si>
  <si>
    <r>
      <t>10500</t>
    </r>
    <r>
      <rPr>
        <sz val="8"/>
        <rFont val="Times New Roman"/>
        <family val="1"/>
      </rPr>
      <t>+24type2</t>
    </r>
  </si>
  <si>
    <r>
      <t>300</t>
    </r>
    <r>
      <rPr>
        <sz val="8"/>
        <rFont val="Times New Roman"/>
        <family val="1"/>
      </rPr>
      <t>+4type2</t>
    </r>
  </si>
  <si>
    <r>
      <t>2400</t>
    </r>
    <r>
      <rPr>
        <sz val="8"/>
        <rFont val="Times New Roman"/>
        <family val="1"/>
      </rPr>
      <t>+4type2</t>
    </r>
  </si>
  <si>
    <r>
      <t>600</t>
    </r>
    <r>
      <rPr>
        <sz val="8"/>
        <rFont val="Times New Roman"/>
        <family val="1"/>
      </rPr>
      <t>+8type2</t>
    </r>
  </si>
  <si>
    <t>100+100</t>
  </si>
  <si>
    <t>1000+11</t>
  </si>
  <si>
    <t>5type2</t>
  </si>
  <si>
    <t>10type2</t>
  </si>
  <si>
    <t>400+5type2</t>
  </si>
  <si>
    <r>
      <t>452</t>
    </r>
    <r>
      <rPr>
        <sz val="8"/>
        <rFont val="Times New Roman"/>
        <family val="1"/>
      </rPr>
      <t>+5type2</t>
    </r>
  </si>
  <si>
    <r>
      <t>8492</t>
    </r>
    <r>
      <rPr>
        <sz val="8"/>
        <rFont val="Times New Roman"/>
        <family val="1"/>
      </rPr>
      <t>+30type2</t>
    </r>
  </si>
  <si>
    <r>
      <t>400</t>
    </r>
    <r>
      <rPr>
        <sz val="8"/>
        <rFont val="Times New Roman"/>
        <family val="1"/>
      </rPr>
      <t>+5type2</t>
    </r>
  </si>
  <si>
    <r>
      <t>456</t>
    </r>
    <r>
      <rPr>
        <sz val="8"/>
        <rFont val="Times New Roman"/>
        <family val="1"/>
      </rPr>
      <t>+10type2</t>
    </r>
  </si>
  <si>
    <t>Ngày 6 tháng 7 năm 2018</t>
  </si>
  <si>
    <t>500+1</t>
  </si>
  <si>
    <t>1800+1</t>
  </si>
  <si>
    <t>1400+1</t>
  </si>
  <si>
    <t>Ngày 7 tháng 7 năm 2018</t>
  </si>
  <si>
    <t>3420+1300</t>
  </si>
  <si>
    <r>
      <t>1920+1730</t>
    </r>
    <r>
      <rPr>
        <sz val="8"/>
        <rFont val="Times New Roman"/>
        <family val="1"/>
      </rPr>
      <t>+10type2</t>
    </r>
  </si>
  <si>
    <r>
      <t>600</t>
    </r>
    <r>
      <rPr>
        <sz val="8"/>
        <rFont val="Times New Roman"/>
        <family val="1"/>
      </rPr>
      <t>+10type2</t>
    </r>
  </si>
  <si>
    <r>
      <t>1800</t>
    </r>
    <r>
      <rPr>
        <sz val="8"/>
        <rFont val="Times New Roman"/>
        <family val="1"/>
      </rPr>
      <t>+20type2</t>
    </r>
  </si>
  <si>
    <r>
      <t>900</t>
    </r>
    <r>
      <rPr>
        <sz val="8"/>
        <rFont val="Times New Roman"/>
        <family val="1"/>
      </rPr>
      <t>+10type2</t>
    </r>
  </si>
  <si>
    <r>
      <t>900</t>
    </r>
    <r>
      <rPr>
        <sz val="8"/>
        <rFont val="Times New Roman"/>
        <family val="1"/>
      </rPr>
      <t>+10type2</t>
    </r>
    <r>
      <rPr>
        <sz val="11"/>
        <color theme="1"/>
        <rFont val="Calibri"/>
        <family val="2"/>
        <scheme val="minor"/>
      </rPr>
      <t/>
    </r>
  </si>
  <si>
    <r>
      <t>20300</t>
    </r>
    <r>
      <rPr>
        <sz val="8"/>
        <rFont val="Times New Roman"/>
        <family val="1"/>
      </rPr>
      <t>+90type2</t>
    </r>
  </si>
  <si>
    <r>
      <t>300</t>
    </r>
    <r>
      <rPr>
        <sz val="8"/>
        <rFont val="Times New Roman"/>
        <family val="1"/>
      </rPr>
      <t>+5type2</t>
    </r>
  </si>
  <si>
    <r>
      <t>1000</t>
    </r>
    <r>
      <rPr>
        <sz val="8"/>
        <rFont val="Times New Roman"/>
        <family val="1"/>
      </rPr>
      <t>+20type2</t>
    </r>
  </si>
  <si>
    <t>Ngày 9 tháng 7 năm 2018</t>
  </si>
  <si>
    <t>Ngày 10 tháng 7 năm 2018</t>
  </si>
  <si>
    <t>Ngày 11 tháng 7 năm 2018</t>
  </si>
  <si>
    <t>900+1</t>
  </si>
  <si>
    <t>1500+8</t>
  </si>
  <si>
    <t>700+6</t>
  </si>
  <si>
    <t>20400+180</t>
  </si>
  <si>
    <t>Ngày 12 tháng 7 năm 2018</t>
  </si>
  <si>
    <t>1920+100</t>
  </si>
  <si>
    <t>1920+2</t>
  </si>
  <si>
    <t>100++200</t>
  </si>
  <si>
    <t>Ngày 13 tháng 7 năm 2018</t>
  </si>
  <si>
    <t>Ngày 14 tháng 7 năm 2018</t>
  </si>
  <si>
    <t>50305-GE8-6804</t>
  </si>
  <si>
    <t>3420+2573</t>
  </si>
  <si>
    <t>1000+5</t>
  </si>
  <si>
    <t>2000+20</t>
  </si>
  <si>
    <t>5600+60</t>
  </si>
  <si>
    <t>Ngày 16 tháng 7 năm 2018</t>
  </si>
  <si>
    <t>26type2</t>
  </si>
  <si>
    <t>1920+1730</t>
  </si>
  <si>
    <t>24type2</t>
  </si>
  <si>
    <t>13type2</t>
  </si>
  <si>
    <t>Ngày 17 tháng 7 năm 2018</t>
  </si>
  <si>
    <r>
      <t>500</t>
    </r>
    <r>
      <rPr>
        <sz val="8"/>
        <rFont val="Times New Roman"/>
        <family val="1"/>
      </rPr>
      <t>+13type2</t>
    </r>
  </si>
  <si>
    <t>22113-GFM-9701</t>
  </si>
  <si>
    <t>22113-KVY-9000</t>
  </si>
  <si>
    <t>50301-GMO-0003</t>
  </si>
  <si>
    <t>50301-KCW-8702</t>
  </si>
  <si>
    <t>53210-KCW-8701</t>
  </si>
  <si>
    <t>53212-KCW-8702</t>
  </si>
  <si>
    <t>53215-KCW-8701</t>
  </si>
  <si>
    <t>90608-072-0002</t>
  </si>
  <si>
    <r>
      <t>702</t>
    </r>
    <r>
      <rPr>
        <sz val="8"/>
        <rFont val="Times New Roman"/>
        <family val="1"/>
      </rPr>
      <t>+6type2</t>
    </r>
  </si>
  <si>
    <r>
      <t>530</t>
    </r>
    <r>
      <rPr>
        <sz val="8"/>
        <rFont val="Times New Roman"/>
        <family val="1"/>
      </rPr>
      <t>+5type2</t>
    </r>
  </si>
  <si>
    <r>
      <t>530</t>
    </r>
    <r>
      <rPr>
        <sz val="8"/>
        <rFont val="Times New Roman"/>
        <family val="1"/>
      </rPr>
      <t>+5type2</t>
    </r>
    <r>
      <rPr>
        <sz val="11"/>
        <color theme="1"/>
        <rFont val="Calibri"/>
        <family val="2"/>
        <scheme val="minor"/>
      </rPr>
      <t/>
    </r>
  </si>
  <si>
    <r>
      <t>6846</t>
    </r>
    <r>
      <rPr>
        <sz val="8"/>
        <rFont val="Times New Roman"/>
        <family val="1"/>
      </rPr>
      <t>+25type2</t>
    </r>
  </si>
  <si>
    <r>
      <t>330</t>
    </r>
    <r>
      <rPr>
        <sz val="8"/>
        <rFont val="Times New Roman"/>
        <family val="1"/>
      </rPr>
      <t>+5type2</t>
    </r>
  </si>
  <si>
    <r>
      <t>496</t>
    </r>
    <r>
      <rPr>
        <sz val="8"/>
        <rFont val="Times New Roman"/>
        <family val="1"/>
      </rPr>
      <t>+5type2</t>
    </r>
  </si>
  <si>
    <r>
      <t>992</t>
    </r>
    <r>
      <rPr>
        <sz val="8"/>
        <rFont val="Times New Roman"/>
        <family val="1"/>
      </rPr>
      <t>+10type2</t>
    </r>
  </si>
  <si>
    <r>
      <t>660</t>
    </r>
    <r>
      <rPr>
        <sz val="8"/>
        <rFont val="Times New Roman"/>
        <family val="1"/>
      </rPr>
      <t>+10type2</t>
    </r>
  </si>
  <si>
    <r>
      <t>1320</t>
    </r>
    <r>
      <rPr>
        <sz val="8"/>
        <rFont val="Times New Roman"/>
        <family val="1"/>
      </rPr>
      <t>+20type2</t>
    </r>
  </si>
  <si>
    <t>Ngày 18 tháng 7 năm 2018</t>
  </si>
  <si>
    <r>
      <t>682</t>
    </r>
    <r>
      <rPr>
        <sz val="8"/>
        <rFont val="Times New Roman"/>
        <family val="1"/>
      </rPr>
      <t>+1type2</t>
    </r>
  </si>
  <si>
    <r>
      <t>682</t>
    </r>
    <r>
      <rPr>
        <sz val="8"/>
        <rFont val="Times New Roman"/>
        <family val="1"/>
      </rPr>
      <t>+1type2</t>
    </r>
    <r>
      <rPr>
        <sz val="11"/>
        <color theme="1"/>
        <rFont val="Calibri"/>
        <family val="2"/>
        <scheme val="minor"/>
      </rPr>
      <t/>
    </r>
  </si>
  <si>
    <r>
      <t>502</t>
    </r>
    <r>
      <rPr>
        <sz val="8"/>
        <rFont val="Times New Roman"/>
        <family val="1"/>
      </rPr>
      <t>+1type2</t>
    </r>
  </si>
  <si>
    <r>
      <t>1004</t>
    </r>
    <r>
      <rPr>
        <sz val="8"/>
        <rFont val="Times New Roman"/>
        <family val="1"/>
      </rPr>
      <t>+2type2</t>
    </r>
  </si>
  <si>
    <r>
      <t>2008</t>
    </r>
    <r>
      <rPr>
        <sz val="8"/>
        <rFont val="Times New Roman"/>
        <family val="1"/>
      </rPr>
      <t>+4type2</t>
    </r>
  </si>
  <si>
    <r>
      <t>502</t>
    </r>
    <r>
      <rPr>
        <sz val="10"/>
        <rFont val="Times New Roman"/>
        <family val="1"/>
      </rPr>
      <t>+1type2</t>
    </r>
  </si>
  <si>
    <r>
      <t>6366</t>
    </r>
    <r>
      <rPr>
        <sz val="8"/>
        <rFont val="Times New Roman"/>
        <family val="1"/>
      </rPr>
      <t>+5type2</t>
    </r>
  </si>
  <si>
    <t>Ngày 19 tháng 7 năm 2018</t>
  </si>
  <si>
    <t>Ngày 20 tháng 7 năm 2018</t>
  </si>
  <si>
    <t>Ngày 21 tháng 7 năm 2018</t>
  </si>
  <si>
    <t>Ngày 23 tháng 7 năm 2018</t>
  </si>
  <si>
    <t>1920+1300</t>
  </si>
  <si>
    <t>300+100</t>
  </si>
  <si>
    <t>1000+1</t>
  </si>
  <si>
    <t>9400+100</t>
  </si>
  <si>
    <t>700+8</t>
  </si>
  <si>
    <t>Ngày 24 tháng 7 năm 2018</t>
  </si>
  <si>
    <r>
      <t>700</t>
    </r>
    <r>
      <rPr>
        <sz val="8"/>
        <rFont val="Times New Roman"/>
        <family val="1"/>
      </rPr>
      <t>+5type2</t>
    </r>
  </si>
  <si>
    <r>
      <t>700</t>
    </r>
    <r>
      <rPr>
        <sz val="8"/>
        <rFont val="Times New Roman"/>
        <family val="1"/>
      </rPr>
      <t>+5type2</t>
    </r>
    <r>
      <rPr>
        <sz val="11"/>
        <color theme="1"/>
        <rFont val="Calibri"/>
        <family val="2"/>
        <scheme val="minor"/>
      </rPr>
      <t/>
    </r>
  </si>
  <si>
    <r>
      <t>14300</t>
    </r>
    <r>
      <rPr>
        <sz val="8"/>
        <rFont val="Times New Roman"/>
        <family val="1"/>
      </rPr>
      <t>+25type2</t>
    </r>
  </si>
  <si>
    <r>
      <t>100</t>
    </r>
    <r>
      <rPr>
        <sz val="8"/>
        <rFont val="Times New Roman"/>
        <family val="1"/>
      </rPr>
      <t>+5type2</t>
    </r>
  </si>
  <si>
    <r>
      <t>200</t>
    </r>
    <r>
      <rPr>
        <sz val="8"/>
        <rFont val="Times New Roman"/>
        <family val="1"/>
      </rPr>
      <t>+10type2</t>
    </r>
  </si>
  <si>
    <r>
      <t>400</t>
    </r>
    <r>
      <rPr>
        <sz val="8"/>
        <rFont val="Times New Roman"/>
        <family val="1"/>
      </rPr>
      <t>+20type2</t>
    </r>
  </si>
  <si>
    <t>Ngày 25 tháng 7 năm 2018</t>
  </si>
  <si>
    <t>Ngày 26 tháng 7 năm 2018</t>
  </si>
  <si>
    <t>Ngày 27 tháng 7 năm 2018</t>
  </si>
  <si>
    <t>900+3</t>
  </si>
  <si>
    <t>900+8</t>
  </si>
  <si>
    <t>900+40</t>
  </si>
  <si>
    <t>8600+200</t>
  </si>
  <si>
    <t>470+20</t>
  </si>
  <si>
    <t>500+16</t>
  </si>
  <si>
    <t>Ngày 30 tháng 7 năm 2018</t>
  </si>
  <si>
    <t>3460+100</t>
  </si>
  <si>
    <t>1920+50</t>
  </si>
  <si>
    <t>1920+7</t>
  </si>
  <si>
    <t>Ngày 31 tháng 7 năm 2018</t>
  </si>
  <si>
    <t>900+200</t>
  </si>
  <si>
    <t>900+460</t>
  </si>
  <si>
    <r>
      <t xml:space="preserve">V2AF 51-V2AE51 ( </t>
    </r>
    <r>
      <rPr>
        <b/>
        <sz val="10"/>
        <color rgb="FFFF0000"/>
        <rFont val="Times New Roman"/>
        <family val="1"/>
        <charset val="163"/>
      </rPr>
      <t>các cổng</t>
    </r>
    <r>
      <rPr>
        <b/>
        <sz val="10"/>
        <rFont val="Times New Roman"/>
        <family val="1"/>
      </rPr>
      <t xml:space="preserve">) = </t>
    </r>
    <r>
      <rPr>
        <b/>
        <sz val="10"/>
        <color rgb="FFFF0000"/>
        <rFont val="Times New Roman"/>
        <family val="1"/>
        <charset val="163"/>
      </rPr>
      <t>dựa vào timet đưa ra</t>
    </r>
  </si>
  <si>
    <t>Quy cách
???  ( Dựa vào Công Nghệ ban hành )</t>
  </si>
  <si>
    <t>Số lượng (PCS) ? = Bảng timet đưa ra SL</t>
  </si>
  <si>
    <t>( với mỗi loại SP có 1 quy cách  riêng)</t>
  </si>
  <si>
    <t>( Nếu Xuất không đủ thì Điền dữ liệu vào. Nhưng thường là xuất đủ hàng)</t>
  </si>
  <si>
    <r>
      <t xml:space="preserve">PS-CD: </t>
    </r>
    <r>
      <rPr>
        <b/>
        <sz val="10"/>
        <color rgb="FFFF0000"/>
        <rFont val="Times New Roman"/>
        <family val="1"/>
        <charset val="163"/>
      </rPr>
      <t>V2AF02-V2AE02</t>
    </r>
    <r>
      <rPr>
        <b/>
        <sz val="10"/>
        <rFont val="Times New Roman"/>
        <family val="1"/>
      </rPr>
      <t xml:space="preserve">
( CHIỀU )</t>
    </r>
  </si>
  <si>
    <t>Quy cách ( phòng Công Nghệ)</t>
  </si>
  <si>
    <t>Thực xuất
( Nếu Xuất ko dủ thì ghi vào đây. Đủ thì ko ghi. Nhưng thương đủ)</t>
  </si>
  <si>
    <t>8u98u</t>
  </si>
  <si>
    <r>
      <t>PS-CD:</t>
    </r>
    <r>
      <rPr>
        <b/>
        <sz val="10"/>
        <color rgb="FFFF0000"/>
        <rFont val="Times New Roman"/>
        <family val="1"/>
        <charset val="163"/>
      </rPr>
      <t xml:space="preserve"> V2AF02-V2AE02  ( các cổng lấy từ bảng: 4.timet_Update25.07.18)</t>
    </r>
    <r>
      <rPr>
        <b/>
        <sz val="10"/>
        <rFont val="Times New Roman"/>
        <family val="1"/>
      </rPr>
      <t xml:space="preserve">
( SÁNG)  - tự điền vào</t>
    </r>
  </si>
  <si>
    <t>Ngày 27 tháng 7 năm 2018 ( TT quan trọng để lưu trữ thông tin giao hàng)</t>
  </si>
  <si>
    <t>BẢNG KÊ XUẤT HÀNG THÁNG 7 NĂM 2018</t>
  </si>
</sst>
</file>

<file path=xl/styles.xml><?xml version="1.0" encoding="utf-8"?>
<styleSheet xmlns="http://schemas.openxmlformats.org/spreadsheetml/2006/main">
  <numFmts count="1">
    <numFmt numFmtId="164" formatCode="0.0"/>
  </numFmts>
  <fonts count="39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Calibri"/>
      <family val="2"/>
      <charset val="163"/>
      <scheme val="minor"/>
    </font>
    <font>
      <sz val="10"/>
      <color theme="1"/>
      <name val="Times New Roman"/>
      <family val="1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0"/>
      <name val="Times New Roman"/>
      <family val="1"/>
    </font>
    <font>
      <sz val="10"/>
      <name val="Calibri"/>
      <family val="2"/>
      <charset val="163"/>
      <scheme val="minor"/>
    </font>
    <font>
      <b/>
      <i/>
      <sz val="14"/>
      <name val="Times New Roman"/>
      <family val="1"/>
    </font>
    <font>
      <b/>
      <sz val="10"/>
      <name val="Calibri"/>
      <family val="2"/>
      <scheme val="minor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10"/>
      <color theme="1"/>
      <name val="Calibri"/>
      <family val="2"/>
      <scheme val="minor"/>
    </font>
    <font>
      <sz val="8"/>
      <color theme="1"/>
      <name val="Times New Roman"/>
      <family val="1"/>
    </font>
    <font>
      <sz val="8"/>
      <name val="Times New Roman"/>
      <family val="1"/>
    </font>
    <font>
      <sz val="8"/>
      <color theme="0"/>
      <name val="Times New Roman"/>
      <family val="1"/>
    </font>
    <font>
      <sz val="7"/>
      <color theme="1"/>
      <name val="Times New Roman"/>
      <family val="1"/>
    </font>
    <font>
      <sz val="7"/>
      <name val="Times New Roman"/>
      <family val="1"/>
    </font>
    <font>
      <b/>
      <sz val="7"/>
      <name val="Times New Roman"/>
      <family val="1"/>
    </font>
    <font>
      <sz val="7"/>
      <color theme="0"/>
      <name val="Times New Roman"/>
      <family val="1"/>
    </font>
    <font>
      <sz val="9"/>
      <name val="Times New Roman"/>
      <family val="1"/>
    </font>
    <font>
      <b/>
      <sz val="8"/>
      <name val="Times New Roman"/>
      <family val="1"/>
    </font>
    <font>
      <b/>
      <sz val="12"/>
      <color theme="1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rgb="FFFF0000"/>
      <name val="Times New Roman"/>
      <family val="1"/>
      <charset val="163"/>
    </font>
    <font>
      <sz val="10"/>
      <color rgb="FFFF0000"/>
      <name val="Times New Roman"/>
      <family val="1"/>
    </font>
    <font>
      <sz val="12"/>
      <color rgb="FFFF0000"/>
      <name val="Times New Roman"/>
      <family val="1"/>
      <charset val="163"/>
    </font>
    <font>
      <b/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7"/>
      <color rgb="FFFF0000"/>
      <name val="Times New Roman"/>
      <family val="1"/>
    </font>
    <font>
      <sz val="10"/>
      <color rgb="FF00B0F0"/>
      <name val="Times New Roman"/>
      <family val="1"/>
    </font>
    <font>
      <b/>
      <sz val="10"/>
      <color rgb="FF00B0F0"/>
      <name val="Times New Roman"/>
      <family val="1"/>
    </font>
    <font>
      <sz val="8"/>
      <color rgb="FF00B0F0"/>
      <name val="Times New Roman"/>
      <family val="1"/>
    </font>
    <font>
      <sz val="7"/>
      <color rgb="FF00B0F0"/>
      <name val="Times New Roman"/>
      <family val="1"/>
    </font>
    <font>
      <b/>
      <sz val="11"/>
      <color rgb="FF00B0F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8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indexed="64"/>
      </right>
      <top style="hair">
        <color auto="1"/>
      </top>
      <bottom/>
      <diagonal/>
    </border>
    <border>
      <left style="medium">
        <color indexed="64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/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auto="1"/>
      </right>
      <top/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1045">
    <xf numFmtId="0" fontId="0" fillId="0" borderId="0" xfId="0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22" xfId="0" applyFont="1" applyBorder="1"/>
    <xf numFmtId="0" fontId="4" fillId="0" borderId="24" xfId="0" applyFont="1" applyBorder="1"/>
    <xf numFmtId="0" fontId="4" fillId="0" borderId="0" xfId="0" applyFont="1" applyBorder="1"/>
    <xf numFmtId="0" fontId="4" fillId="2" borderId="26" xfId="0" applyFont="1" applyFill="1" applyBorder="1"/>
    <xf numFmtId="0" fontId="4" fillId="0" borderId="0" xfId="0" applyFont="1"/>
    <xf numFmtId="0" fontId="4" fillId="0" borderId="23" xfId="0" applyFont="1" applyBorder="1"/>
    <xf numFmtId="0" fontId="4" fillId="0" borderId="26" xfId="0" applyFont="1" applyBorder="1"/>
    <xf numFmtId="0" fontId="4" fillId="0" borderId="25" xfId="0" applyFont="1" applyBorder="1"/>
    <xf numFmtId="0" fontId="2" fillId="0" borderId="26" xfId="0" applyFont="1" applyBorder="1"/>
    <xf numFmtId="0" fontId="4" fillId="0" borderId="27" xfId="0" applyFont="1" applyBorder="1"/>
    <xf numFmtId="0" fontId="2" fillId="0" borderId="29" xfId="0" applyFont="1" applyBorder="1" applyAlignment="1"/>
    <xf numFmtId="0" fontId="2" fillId="0" borderId="0" xfId="0" applyFont="1" applyBorder="1" applyAlignment="1"/>
    <xf numFmtId="0" fontId="2" fillId="2" borderId="26" xfId="0" applyFont="1" applyFill="1" applyBorder="1" applyAlignment="1"/>
    <xf numFmtId="0" fontId="2" fillId="0" borderId="26" xfId="0" applyFont="1" applyBorder="1" applyAlignment="1"/>
    <xf numFmtId="0" fontId="2" fillId="0" borderId="40" xfId="0" applyFont="1" applyBorder="1" applyAlignment="1"/>
    <xf numFmtId="0" fontId="4" fillId="0" borderId="4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3" fillId="0" borderId="34" xfId="0" applyFont="1" applyBorder="1"/>
    <xf numFmtId="0" fontId="3" fillId="2" borderId="7" xfId="0" applyFont="1" applyFill="1" applyBorder="1"/>
    <xf numFmtId="0" fontId="3" fillId="0" borderId="7" xfId="0" applyFont="1" applyBorder="1"/>
    <xf numFmtId="0" fontId="3" fillId="0" borderId="16" xfId="0" applyFont="1" applyBorder="1"/>
    <xf numFmtId="0" fontId="5" fillId="0" borderId="10" xfId="0" applyFont="1" applyBorder="1"/>
    <xf numFmtId="0" fontId="3" fillId="2" borderId="31" xfId="0" applyFont="1" applyFill="1" applyBorder="1" applyAlignment="1">
      <alignment horizontal="right"/>
    </xf>
    <xf numFmtId="0" fontId="3" fillId="3" borderId="16" xfId="0" applyFont="1" applyFill="1" applyBorder="1"/>
    <xf numFmtId="0" fontId="3" fillId="3" borderId="5" xfId="0" applyFont="1" applyFill="1" applyBorder="1"/>
    <xf numFmtId="0" fontId="4" fillId="3" borderId="5" xfId="0" applyFont="1" applyFill="1" applyBorder="1"/>
    <xf numFmtId="0" fontId="3" fillId="3" borderId="5" xfId="0" applyFont="1" applyFill="1" applyBorder="1" applyAlignment="1">
      <alignment horizontal="right"/>
    </xf>
    <xf numFmtId="0" fontId="3" fillId="3" borderId="10" xfId="0" applyFont="1" applyFill="1" applyBorder="1"/>
    <xf numFmtId="0" fontId="3" fillId="3" borderId="17" xfId="0" applyFont="1" applyFill="1" applyBorder="1" applyAlignment="1">
      <alignment horizontal="right"/>
    </xf>
    <xf numFmtId="0" fontId="3" fillId="3" borderId="0" xfId="0" applyFont="1" applyFill="1"/>
    <xf numFmtId="0" fontId="4" fillId="0" borderId="5" xfId="0" applyFont="1" applyBorder="1" applyAlignment="1">
      <alignment horizontal="center"/>
    </xf>
    <xf numFmtId="0" fontId="3" fillId="2" borderId="5" xfId="0" applyFont="1" applyFill="1" applyBorder="1"/>
    <xf numFmtId="0" fontId="3" fillId="0" borderId="5" xfId="0" applyFont="1" applyBorder="1"/>
    <xf numFmtId="0" fontId="3" fillId="0" borderId="10" xfId="0" applyFont="1" applyBorder="1"/>
    <xf numFmtId="0" fontId="3" fillId="2" borderId="17" xfId="0" applyFont="1" applyFill="1" applyBorder="1"/>
    <xf numFmtId="0" fontId="3" fillId="2" borderId="16" xfId="0" applyFont="1" applyFill="1" applyBorder="1"/>
    <xf numFmtId="0" fontId="6" fillId="0" borderId="5" xfId="0" applyFont="1" applyBorder="1"/>
    <xf numFmtId="0" fontId="3" fillId="0" borderId="17" xfId="0" applyFont="1" applyBorder="1"/>
    <xf numFmtId="0" fontId="3" fillId="2" borderId="0" xfId="0" applyFont="1" applyFill="1"/>
    <xf numFmtId="0" fontId="6" fillId="3" borderId="5" xfId="0" applyFont="1" applyFill="1" applyBorder="1"/>
    <xf numFmtId="0" fontId="3" fillId="3" borderId="17" xfId="0" applyFont="1" applyFill="1" applyBorder="1"/>
    <xf numFmtId="0" fontId="3" fillId="3" borderId="18" xfId="0" applyFont="1" applyFill="1" applyBorder="1"/>
    <xf numFmtId="0" fontId="3" fillId="3" borderId="19" xfId="0" applyFont="1" applyFill="1" applyBorder="1"/>
    <xf numFmtId="0" fontId="3" fillId="3" borderId="16" xfId="0" applyFont="1" applyFill="1" applyBorder="1" applyAlignment="1">
      <alignment horizontal="left"/>
    </xf>
    <xf numFmtId="0" fontId="3" fillId="0" borderId="16" xfId="0" applyFont="1" applyBorder="1" applyAlignment="1">
      <alignment horizontal="left"/>
    </xf>
    <xf numFmtId="0" fontId="4" fillId="4" borderId="25" xfId="0" applyFont="1" applyFill="1" applyBorder="1"/>
    <xf numFmtId="0" fontId="8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23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7" fillId="2" borderId="22" xfId="0" applyFont="1" applyFill="1" applyBorder="1"/>
    <xf numFmtId="0" fontId="8" fillId="2" borderId="23" xfId="0" applyFont="1" applyFill="1" applyBorder="1"/>
    <xf numFmtId="0" fontId="8" fillId="2" borderId="24" xfId="0" applyFont="1" applyFill="1" applyBorder="1"/>
    <xf numFmtId="0" fontId="8" fillId="2" borderId="0" xfId="0" applyFont="1" applyFill="1" applyBorder="1"/>
    <xf numFmtId="0" fontId="8" fillId="2" borderId="26" xfId="0" applyFont="1" applyFill="1" applyBorder="1"/>
    <xf numFmtId="0" fontId="8" fillId="2" borderId="0" xfId="0" applyFont="1" applyFill="1"/>
    <xf numFmtId="0" fontId="8" fillId="2" borderId="25" xfId="0" applyFont="1" applyFill="1" applyBorder="1"/>
    <xf numFmtId="0" fontId="7" fillId="2" borderId="0" xfId="0" applyFont="1" applyFill="1" applyBorder="1" applyAlignment="1">
      <alignment horizontal="center"/>
    </xf>
    <xf numFmtId="0" fontId="7" fillId="2" borderId="0" xfId="0" applyFont="1" applyFill="1" applyBorder="1"/>
    <xf numFmtId="0" fontId="8" fillId="2" borderId="27" xfId="0" applyFont="1" applyFill="1" applyBorder="1"/>
    <xf numFmtId="0" fontId="8" fillId="2" borderId="1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5" xfId="0" applyFont="1" applyFill="1" applyBorder="1"/>
    <xf numFmtId="0" fontId="8" fillId="2" borderId="1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/>
    <xf numFmtId="0" fontId="8" fillId="2" borderId="37" xfId="0" applyFont="1" applyFill="1" applyBorder="1"/>
    <xf numFmtId="0" fontId="8" fillId="2" borderId="3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39" xfId="0" applyFont="1" applyFill="1" applyBorder="1" applyAlignment="1">
      <alignment horizontal="center"/>
    </xf>
    <xf numFmtId="0" fontId="8" fillId="3" borderId="5" xfId="0" applyFont="1" applyFill="1" applyBorder="1"/>
    <xf numFmtId="0" fontId="8" fillId="3" borderId="7" xfId="0" applyFont="1" applyFill="1" applyBorder="1"/>
    <xf numFmtId="0" fontId="9" fillId="3" borderId="7" xfId="0" applyFont="1" applyFill="1" applyBorder="1" applyAlignment="1">
      <alignment horizontal="right"/>
    </xf>
    <xf numFmtId="0" fontId="8" fillId="3" borderId="7" xfId="0" applyFont="1" applyFill="1" applyBorder="1" applyAlignment="1">
      <alignment horizontal="center"/>
    </xf>
    <xf numFmtId="0" fontId="8" fillId="3" borderId="48" xfId="0" applyFont="1" applyFill="1" applyBorder="1"/>
    <xf numFmtId="164" fontId="9" fillId="3" borderId="7" xfId="0" applyNumberFormat="1" applyFont="1" applyFill="1" applyBorder="1"/>
    <xf numFmtId="0" fontId="8" fillId="3" borderId="38" xfId="0" applyFont="1" applyFill="1" applyBorder="1"/>
    <xf numFmtId="0" fontId="8" fillId="3" borderId="0" xfId="0" applyFont="1" applyFill="1"/>
    <xf numFmtId="164" fontId="9" fillId="3" borderId="7" xfId="0" applyNumberFormat="1" applyFont="1" applyFill="1" applyBorder="1" applyAlignment="1">
      <alignment horizontal="right"/>
    </xf>
    <xf numFmtId="0" fontId="9" fillId="3" borderId="5" xfId="0" applyFont="1" applyFill="1" applyBorder="1"/>
    <xf numFmtId="0" fontId="8" fillId="3" borderId="17" xfId="0" applyFont="1" applyFill="1" applyBorder="1"/>
    <xf numFmtId="0" fontId="8" fillId="3" borderId="4" xfId="0" applyFont="1" applyFill="1" applyBorder="1"/>
    <xf numFmtId="164" fontId="9" fillId="3" borderId="4" xfId="0" applyNumberFormat="1" applyFont="1" applyFill="1" applyBorder="1"/>
    <xf numFmtId="0" fontId="9" fillId="3" borderId="4" xfId="0" applyFont="1" applyFill="1" applyBorder="1"/>
    <xf numFmtId="0" fontId="8" fillId="3" borderId="4" xfId="0" applyFont="1" applyFill="1" applyBorder="1" applyAlignment="1">
      <alignment horizontal="right"/>
    </xf>
    <xf numFmtId="0" fontId="8" fillId="3" borderId="31" xfId="0" applyFont="1" applyFill="1" applyBorder="1"/>
    <xf numFmtId="0" fontId="8" fillId="2" borderId="4" xfId="0" applyFont="1" applyFill="1" applyBorder="1"/>
    <xf numFmtId="0" fontId="8" fillId="2" borderId="7" xfId="0" applyFont="1" applyFill="1" applyBorder="1"/>
    <xf numFmtId="0" fontId="9" fillId="2" borderId="5" xfId="0" applyFont="1" applyFill="1" applyBorder="1"/>
    <xf numFmtId="0" fontId="8" fillId="2" borderId="10" xfId="0" applyFont="1" applyFill="1" applyBorder="1"/>
    <xf numFmtId="164" fontId="9" fillId="2" borderId="5" xfId="0" applyNumberFormat="1" applyFont="1" applyFill="1" applyBorder="1"/>
    <xf numFmtId="0" fontId="8" fillId="2" borderId="17" xfId="0" applyFont="1" applyFill="1" applyBorder="1"/>
    <xf numFmtId="0" fontId="8" fillId="2" borderId="16" xfId="0" applyFont="1" applyFill="1" applyBorder="1" applyAlignment="1">
      <alignment horizontal="left"/>
    </xf>
    <xf numFmtId="0" fontId="8" fillId="2" borderId="5" xfId="0" applyFont="1" applyFill="1" applyBorder="1" applyAlignment="1">
      <alignment horizontal="right"/>
    </xf>
    <xf numFmtId="0" fontId="8" fillId="2" borderId="16" xfId="0" applyFont="1" applyFill="1" applyBorder="1"/>
    <xf numFmtId="164" fontId="8" fillId="2" borderId="7" xfId="0" applyNumberFormat="1" applyFont="1" applyFill="1" applyBorder="1"/>
    <xf numFmtId="0" fontId="9" fillId="2" borderId="7" xfId="0" applyFont="1" applyFill="1" applyBorder="1"/>
    <xf numFmtId="0" fontId="8" fillId="2" borderId="7" xfId="0" applyFont="1" applyFill="1" applyBorder="1" applyAlignment="1">
      <alignment horizontal="right"/>
    </xf>
    <xf numFmtId="164" fontId="9" fillId="2" borderId="7" xfId="0" applyNumberFormat="1" applyFont="1" applyFill="1" applyBorder="1"/>
    <xf numFmtId="0" fontId="8" fillId="2" borderId="38" xfId="0" applyFont="1" applyFill="1" applyBorder="1"/>
    <xf numFmtId="0" fontId="8" fillId="3" borderId="5" xfId="0" applyFont="1" applyFill="1" applyBorder="1" applyAlignment="1">
      <alignment horizontal="right"/>
    </xf>
    <xf numFmtId="0" fontId="8" fillId="3" borderId="10" xfId="0" applyFont="1" applyFill="1" applyBorder="1" applyAlignment="1">
      <alignment horizontal="left"/>
    </xf>
    <xf numFmtId="164" fontId="9" fillId="3" borderId="5" xfId="0" applyNumberFormat="1" applyFont="1" applyFill="1" applyBorder="1"/>
    <xf numFmtId="0" fontId="8" fillId="3" borderId="16" xfId="0" applyFont="1" applyFill="1" applyBorder="1" applyAlignment="1">
      <alignment horizontal="left"/>
    </xf>
    <xf numFmtId="0" fontId="8" fillId="2" borderId="10" xfId="0" applyFont="1" applyFill="1" applyBorder="1" applyAlignment="1">
      <alignment horizontal="left"/>
    </xf>
    <xf numFmtId="0" fontId="8" fillId="3" borderId="10" xfId="0" applyFont="1" applyFill="1" applyBorder="1"/>
    <xf numFmtId="0" fontId="8" fillId="3" borderId="16" xfId="0" applyFont="1" applyFill="1" applyBorder="1"/>
    <xf numFmtId="0" fontId="8" fillId="3" borderId="49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0" fontId="8" fillId="2" borderId="5" xfId="0" applyFont="1" applyFill="1" applyBorder="1" applyAlignment="1">
      <alignment horizontal="left"/>
    </xf>
    <xf numFmtId="0" fontId="8" fillId="2" borderId="14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right" wrapText="1"/>
    </xf>
    <xf numFmtId="0" fontId="8" fillId="2" borderId="9" xfId="0" applyFont="1" applyFill="1" applyBorder="1"/>
    <xf numFmtId="0" fontId="9" fillId="3" borderId="9" xfId="0" applyFont="1" applyFill="1" applyBorder="1"/>
    <xf numFmtId="0" fontId="8" fillId="3" borderId="9" xfId="0" applyFont="1" applyFill="1" applyBorder="1"/>
    <xf numFmtId="0" fontId="8" fillId="3" borderId="15" xfId="0" applyFont="1" applyFill="1" applyBorder="1"/>
    <xf numFmtId="0" fontId="8" fillId="2" borderId="5" xfId="0" applyFont="1" applyFill="1" applyBorder="1" applyAlignment="1">
      <alignment wrapText="1"/>
    </xf>
    <xf numFmtId="0" fontId="8" fillId="2" borderId="48" xfId="0" applyFont="1" applyFill="1" applyBorder="1"/>
    <xf numFmtId="0" fontId="8" fillId="2" borderId="14" xfId="0" applyFont="1" applyFill="1" applyBorder="1"/>
    <xf numFmtId="0" fontId="8" fillId="2" borderId="15" xfId="0" applyFont="1" applyFill="1" applyBorder="1"/>
    <xf numFmtId="164" fontId="9" fillId="3" borderId="9" xfId="0" applyNumberFormat="1" applyFont="1" applyFill="1" applyBorder="1"/>
    <xf numFmtId="0" fontId="8" fillId="2" borderId="56" xfId="0" applyFont="1" applyFill="1" applyBorder="1"/>
    <xf numFmtId="0" fontId="8" fillId="3" borderId="0" xfId="0" applyFont="1" applyFill="1" applyBorder="1"/>
    <xf numFmtId="0" fontId="8" fillId="3" borderId="18" xfId="0" applyFont="1" applyFill="1" applyBorder="1"/>
    <xf numFmtId="0" fontId="8" fillId="3" borderId="19" xfId="0" applyFont="1" applyFill="1" applyBorder="1"/>
    <xf numFmtId="0" fontId="8" fillId="3" borderId="20" xfId="0" applyFont="1" applyFill="1" applyBorder="1"/>
    <xf numFmtId="0" fontId="8" fillId="3" borderId="18" xfId="0" applyFont="1" applyFill="1" applyBorder="1" applyAlignment="1">
      <alignment horizontal="left"/>
    </xf>
    <xf numFmtId="0" fontId="2" fillId="0" borderId="4" xfId="0" applyFont="1" applyBorder="1"/>
    <xf numFmtId="0" fontId="3" fillId="0" borderId="19" xfId="0" applyFont="1" applyBorder="1"/>
    <xf numFmtId="0" fontId="3" fillId="0" borderId="20" xfId="0" applyFont="1" applyBorder="1"/>
    <xf numFmtId="0" fontId="7" fillId="2" borderId="23" xfId="0" applyFont="1" applyFill="1" applyBorder="1"/>
    <xf numFmtId="0" fontId="7" fillId="2" borderId="28" xfId="0" applyFont="1" applyFill="1" applyBorder="1" applyAlignment="1"/>
    <xf numFmtId="0" fontId="7" fillId="2" borderId="0" xfId="0" applyFont="1" applyFill="1" applyBorder="1" applyAlignment="1"/>
    <xf numFmtId="0" fontId="10" fillId="2" borderId="7" xfId="0" applyFont="1" applyFill="1" applyBorder="1"/>
    <xf numFmtId="0" fontId="10" fillId="2" borderId="0" xfId="0" applyFont="1" applyFill="1"/>
    <xf numFmtId="0" fontId="2" fillId="0" borderId="22" xfId="0" applyFont="1" applyBorder="1" applyAlignment="1">
      <alignment horizontal="left"/>
    </xf>
    <xf numFmtId="0" fontId="4" fillId="0" borderId="25" xfId="0" applyFont="1" applyBorder="1" applyAlignment="1">
      <alignment horizontal="left"/>
    </xf>
    <xf numFmtId="0" fontId="4" fillId="0" borderId="27" xfId="0" applyFont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2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8" fillId="3" borderId="6" xfId="0" applyFont="1" applyFill="1" applyBorder="1"/>
    <xf numFmtId="0" fontId="7" fillId="2" borderId="60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right"/>
    </xf>
    <xf numFmtId="0" fontId="8" fillId="2" borderId="9" xfId="0" applyFont="1" applyFill="1" applyBorder="1" applyAlignment="1">
      <alignment horizontal="right"/>
    </xf>
    <xf numFmtId="0" fontId="11" fillId="3" borderId="16" xfId="0" applyFont="1" applyFill="1" applyBorder="1"/>
    <xf numFmtId="0" fontId="12" fillId="3" borderId="5" xfId="0" applyFont="1" applyFill="1" applyBorder="1" applyAlignment="1">
      <alignment horizontal="right"/>
    </xf>
    <xf numFmtId="0" fontId="12" fillId="2" borderId="5" xfId="0" applyFont="1" applyFill="1" applyBorder="1" applyAlignment="1">
      <alignment horizontal="right"/>
    </xf>
    <xf numFmtId="0" fontId="8" fillId="2" borderId="10" xfId="0" applyFont="1" applyFill="1" applyBorder="1" applyAlignment="1">
      <alignment horizontal="right"/>
    </xf>
    <xf numFmtId="0" fontId="13" fillId="2" borderId="5" xfId="0" applyFont="1" applyFill="1" applyBorder="1"/>
    <xf numFmtId="0" fontId="6" fillId="3" borderId="16" xfId="0" applyFont="1" applyFill="1" applyBorder="1" applyAlignment="1">
      <alignment horizontal="left"/>
    </xf>
    <xf numFmtId="0" fontId="12" fillId="3" borderId="19" xfId="0" applyFont="1" applyFill="1" applyBorder="1"/>
    <xf numFmtId="0" fontId="13" fillId="3" borderId="5" xfId="0" applyFont="1" applyFill="1" applyBorder="1"/>
    <xf numFmtId="0" fontId="13" fillId="3" borderId="9" xfId="0" applyFont="1" applyFill="1" applyBorder="1"/>
    <xf numFmtId="0" fontId="13" fillId="2" borderId="9" xfId="0" applyFont="1" applyFill="1" applyBorder="1"/>
    <xf numFmtId="0" fontId="13" fillId="3" borderId="55" xfId="0" applyFont="1" applyFill="1" applyBorder="1" applyAlignment="1"/>
    <xf numFmtId="0" fontId="14" fillId="2" borderId="5" xfId="0" applyFont="1" applyFill="1" applyBorder="1"/>
    <xf numFmtId="0" fontId="14" fillId="3" borderId="5" xfId="0" applyFont="1" applyFill="1" applyBorder="1"/>
    <xf numFmtId="0" fontId="13" fillId="3" borderId="4" xfId="0" applyFont="1" applyFill="1" applyBorder="1"/>
    <xf numFmtId="0" fontId="10" fillId="2" borderId="7" xfId="0" applyFont="1" applyFill="1" applyBorder="1" applyAlignment="1">
      <alignment horizontal="right"/>
    </xf>
    <xf numFmtId="0" fontId="2" fillId="3" borderId="5" xfId="0" applyFont="1" applyFill="1" applyBorder="1"/>
    <xf numFmtId="0" fontId="8" fillId="2" borderId="6" xfId="0" applyFont="1" applyFill="1" applyBorder="1" applyAlignment="1">
      <alignment horizontal="right"/>
    </xf>
    <xf numFmtId="0" fontId="8" fillId="2" borderId="3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right"/>
    </xf>
    <xf numFmtId="0" fontId="15" fillId="0" borderId="16" xfId="0" applyFont="1" applyBorder="1" applyAlignment="1">
      <alignment horizontal="left"/>
    </xf>
    <xf numFmtId="0" fontId="15" fillId="2" borderId="5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3" fillId="2" borderId="19" xfId="0" applyFont="1" applyFill="1" applyBorder="1"/>
    <xf numFmtId="0" fontId="15" fillId="3" borderId="16" xfId="0" applyFont="1" applyFill="1" applyBorder="1" applyAlignment="1">
      <alignment horizontal="left"/>
    </xf>
    <xf numFmtId="0" fontId="15" fillId="3" borderId="5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left"/>
    </xf>
    <xf numFmtId="0" fontId="15" fillId="3" borderId="5" xfId="0" applyFont="1" applyFill="1" applyBorder="1" applyAlignment="1">
      <alignment horizontal="left"/>
    </xf>
    <xf numFmtId="0" fontId="3" fillId="0" borderId="5" xfId="0" applyFont="1" applyBorder="1" applyAlignment="1">
      <alignment horizontal="right"/>
    </xf>
    <xf numFmtId="0" fontId="7" fillId="2" borderId="4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left"/>
    </xf>
    <xf numFmtId="0" fontId="8" fillId="3" borderId="9" xfId="0" applyFont="1" applyFill="1" applyBorder="1" applyAlignment="1">
      <alignment horizontal="left"/>
    </xf>
    <xf numFmtId="0" fontId="8" fillId="2" borderId="9" xfId="0" applyFont="1" applyFill="1" applyBorder="1" applyAlignment="1">
      <alignment horizontal="left"/>
    </xf>
    <xf numFmtId="0" fontId="8" fillId="3" borderId="19" xfId="0" applyFont="1" applyFill="1" applyBorder="1" applyAlignment="1">
      <alignment horizontal="left"/>
    </xf>
    <xf numFmtId="0" fontId="7" fillId="3" borderId="10" xfId="0" applyFont="1" applyFill="1" applyBorder="1" applyAlignment="1">
      <alignment horizontal="left"/>
    </xf>
    <xf numFmtId="0" fontId="8" fillId="3" borderId="0" xfId="0" applyFont="1" applyFill="1" applyAlignment="1">
      <alignment horizontal="left"/>
    </xf>
    <xf numFmtId="0" fontId="13" fillId="2" borderId="5" xfId="0" applyFont="1" applyFill="1" applyBorder="1" applyAlignment="1">
      <alignment horizontal="left"/>
    </xf>
    <xf numFmtId="0" fontId="13" fillId="3" borderId="5" xfId="0" applyFont="1" applyFill="1" applyBorder="1" applyAlignment="1">
      <alignment horizontal="left"/>
    </xf>
    <xf numFmtId="0" fontId="8" fillId="2" borderId="7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left"/>
    </xf>
    <xf numFmtId="0" fontId="7" fillId="2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/>
    <xf numFmtId="0" fontId="8" fillId="2" borderId="5" xfId="0" applyFont="1" applyFill="1" applyBorder="1" applyAlignment="1"/>
    <xf numFmtId="0" fontId="7" fillId="2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16" xfId="0" applyFont="1" applyFill="1" applyBorder="1"/>
    <xf numFmtId="0" fontId="7" fillId="2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10" xfId="0" applyFont="1" applyBorder="1"/>
    <xf numFmtId="0" fontId="6" fillId="2" borderId="5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3" fillId="4" borderId="31" xfId="0" applyFont="1" applyFill="1" applyBorder="1" applyAlignment="1">
      <alignment horizontal="right"/>
    </xf>
    <xf numFmtId="0" fontId="3" fillId="4" borderId="17" xfId="0" applyFont="1" applyFill="1" applyBorder="1" applyAlignment="1">
      <alignment horizontal="right"/>
    </xf>
    <xf numFmtId="0" fontId="3" fillId="4" borderId="17" xfId="0" applyFont="1" applyFill="1" applyBorder="1"/>
    <xf numFmtId="0" fontId="6" fillId="4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center" vertical="center" wrapText="1"/>
    </xf>
    <xf numFmtId="0" fontId="7" fillId="3" borderId="5" xfId="0" applyFont="1" applyFill="1" applyBorder="1"/>
    <xf numFmtId="0" fontId="11" fillId="2" borderId="16" xfId="0" applyFont="1" applyFill="1" applyBorder="1"/>
    <xf numFmtId="0" fontId="8" fillId="2" borderId="18" xfId="0" applyFont="1" applyFill="1" applyBorder="1"/>
    <xf numFmtId="0" fontId="8" fillId="2" borderId="19" xfId="0" applyFont="1" applyFill="1" applyBorder="1" applyAlignment="1">
      <alignment horizontal="left"/>
    </xf>
    <xf numFmtId="0" fontId="8" fillId="2" borderId="19" xfId="0" applyFont="1" applyFill="1" applyBorder="1"/>
    <xf numFmtId="0" fontId="8" fillId="2" borderId="20" xfId="0" applyFont="1" applyFill="1" applyBorder="1"/>
    <xf numFmtId="0" fontId="7" fillId="3" borderId="5" xfId="0" applyFont="1" applyFill="1" applyBorder="1" applyAlignment="1">
      <alignment horizontal="right"/>
    </xf>
    <xf numFmtId="0" fontId="8" fillId="3" borderId="14" xfId="0" applyFont="1" applyFill="1" applyBorder="1" applyAlignment="1">
      <alignment horizontal="left"/>
    </xf>
    <xf numFmtId="0" fontId="7" fillId="3" borderId="16" xfId="0" applyFont="1" applyFill="1" applyBorder="1"/>
    <xf numFmtId="0" fontId="8" fillId="2" borderId="23" xfId="0" applyFont="1" applyFill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2" borderId="0" xfId="0" applyFont="1" applyFill="1" applyBorder="1" applyAlignment="1">
      <alignment horizontal="left"/>
    </xf>
    <xf numFmtId="0" fontId="8" fillId="3" borderId="14" xfId="0" applyFont="1" applyFill="1" applyBorder="1"/>
    <xf numFmtId="0" fontId="8" fillId="2" borderId="31" xfId="0" applyFont="1" applyFill="1" applyBorder="1"/>
    <xf numFmtId="0" fontId="8" fillId="2" borderId="18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0" fontId="7" fillId="2" borderId="5" xfId="0" applyFont="1" applyFill="1" applyBorder="1"/>
    <xf numFmtId="0" fontId="7" fillId="2" borderId="19" xfId="0" applyFont="1" applyFill="1" applyBorder="1"/>
    <xf numFmtId="0" fontId="7" fillId="2" borderId="5" xfId="0" applyFont="1" applyFill="1" applyBorder="1" applyAlignment="1">
      <alignment horizontal="left" wrapText="1"/>
    </xf>
    <xf numFmtId="0" fontId="7" fillId="3" borderId="5" xfId="0" applyFont="1" applyFill="1" applyBorder="1" applyAlignment="1">
      <alignment horizontal="left" wrapText="1"/>
    </xf>
    <xf numFmtId="0" fontId="7" fillId="3" borderId="9" xfId="0" applyFont="1" applyFill="1" applyBorder="1" applyAlignment="1">
      <alignment horizontal="left"/>
    </xf>
    <xf numFmtId="0" fontId="7" fillId="2" borderId="9" xfId="0" applyFont="1" applyFill="1" applyBorder="1" applyAlignment="1">
      <alignment horizontal="left"/>
    </xf>
    <xf numFmtId="0" fontId="7" fillId="2" borderId="19" xfId="0" applyFont="1" applyFill="1" applyBorder="1" applyAlignment="1">
      <alignment horizontal="left"/>
    </xf>
    <xf numFmtId="0" fontId="7" fillId="2" borderId="4" xfId="0" applyFont="1" applyFill="1" applyBorder="1"/>
    <xf numFmtId="0" fontId="7" fillId="3" borderId="9" xfId="0" applyFont="1" applyFill="1" applyBorder="1"/>
    <xf numFmtId="0" fontId="7" fillId="2" borderId="9" xfId="0" applyFont="1" applyFill="1" applyBorder="1"/>
    <xf numFmtId="0" fontId="7" fillId="3" borderId="16" xfId="0" applyFont="1" applyFill="1" applyBorder="1" applyAlignment="1">
      <alignment horizontal="left"/>
    </xf>
    <xf numFmtId="0" fontId="14" fillId="2" borderId="7" xfId="0" applyFont="1" applyFill="1" applyBorder="1" applyAlignment="1">
      <alignment horizontal="left"/>
    </xf>
    <xf numFmtId="0" fontId="3" fillId="2" borderId="17" xfId="0" applyFont="1" applyFill="1" applyBorder="1" applyAlignment="1">
      <alignment horizontal="center" vertical="center"/>
    </xf>
    <xf numFmtId="0" fontId="6" fillId="0" borderId="0" xfId="0" applyFont="1" applyBorder="1"/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3" fillId="3" borderId="0" xfId="0" applyFont="1" applyFill="1" applyBorder="1"/>
    <xf numFmtId="0" fontId="6" fillId="3" borderId="0" xfId="0" applyFont="1" applyFill="1" applyBorder="1"/>
    <xf numFmtId="0" fontId="3" fillId="0" borderId="0" xfId="0" applyFont="1" applyBorder="1"/>
    <xf numFmtId="0" fontId="3" fillId="3" borderId="0" xfId="0" applyFont="1" applyFill="1" applyBorder="1" applyAlignment="1">
      <alignment horizontal="righ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2" borderId="65" xfId="0" applyFont="1" applyFill="1" applyBorder="1" applyAlignment="1">
      <alignment horizontal="center"/>
    </xf>
    <xf numFmtId="0" fontId="6" fillId="0" borderId="65" xfId="0" applyFont="1" applyBorder="1"/>
    <xf numFmtId="0" fontId="3" fillId="2" borderId="66" xfId="0" applyFont="1" applyFill="1" applyBorder="1" applyAlignment="1">
      <alignment horizontal="center" vertical="center"/>
    </xf>
    <xf numFmtId="0" fontId="6" fillId="0" borderId="16" xfId="0" applyFont="1" applyBorder="1"/>
    <xf numFmtId="0" fontId="3" fillId="2" borderId="19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right"/>
    </xf>
    <xf numFmtId="0" fontId="16" fillId="2" borderId="4" xfId="0" applyFont="1" applyFill="1" applyBorder="1"/>
    <xf numFmtId="0" fontId="16" fillId="3" borderId="5" xfId="0" applyFont="1" applyFill="1" applyBorder="1"/>
    <xf numFmtId="0" fontId="16" fillId="2" borderId="5" xfId="0" applyFont="1" applyFill="1" applyBorder="1"/>
    <xf numFmtId="0" fontId="17" fillId="3" borderId="5" xfId="0" applyFont="1" applyFill="1" applyBorder="1"/>
    <xf numFmtId="0" fontId="17" fillId="2" borderId="5" xfId="0" applyFont="1" applyFill="1" applyBorder="1"/>
    <xf numFmtId="0" fontId="17" fillId="2" borderId="17" xfId="0" applyFont="1" applyFill="1" applyBorder="1"/>
    <xf numFmtId="0" fontId="17" fillId="3" borderId="17" xfId="0" applyFont="1" applyFill="1" applyBorder="1"/>
    <xf numFmtId="0" fontId="17" fillId="2" borderId="7" xfId="0" applyFont="1" applyFill="1" applyBorder="1"/>
    <xf numFmtId="164" fontId="17" fillId="3" borderId="5" xfId="0" applyNumberFormat="1" applyFont="1" applyFill="1" applyBorder="1"/>
    <xf numFmtId="0" fontId="17" fillId="2" borderId="4" xfId="0" applyFont="1" applyFill="1" applyBorder="1"/>
    <xf numFmtId="0" fontId="17" fillId="3" borderId="9" xfId="0" applyFont="1" applyFill="1" applyBorder="1"/>
    <xf numFmtId="0" fontId="17" fillId="2" borderId="9" xfId="0" applyFont="1" applyFill="1" applyBorder="1"/>
    <xf numFmtId="0" fontId="16" fillId="2" borderId="0" xfId="0" applyFont="1" applyFill="1" applyBorder="1"/>
    <xf numFmtId="0" fontId="17" fillId="2" borderId="19" xfId="0" applyFont="1" applyFill="1" applyBorder="1"/>
    <xf numFmtId="0" fontId="19" fillId="2" borderId="4" xfId="0" applyFont="1" applyFill="1" applyBorder="1"/>
    <xf numFmtId="0" fontId="19" fillId="3" borderId="5" xfId="0" applyFont="1" applyFill="1" applyBorder="1"/>
    <xf numFmtId="0" fontId="19" fillId="2" borderId="5" xfId="0" applyFont="1" applyFill="1" applyBorder="1"/>
    <xf numFmtId="0" fontId="20" fillId="3" borderId="5" xfId="0" applyFont="1" applyFill="1" applyBorder="1"/>
    <xf numFmtId="0" fontId="20" fillId="2" borderId="5" xfId="0" applyFont="1" applyFill="1" applyBorder="1"/>
    <xf numFmtId="0" fontId="20" fillId="2" borderId="17" xfId="0" applyFont="1" applyFill="1" applyBorder="1"/>
    <xf numFmtId="0" fontId="19" fillId="3" borderId="17" xfId="0" applyFont="1" applyFill="1" applyBorder="1"/>
    <xf numFmtId="0" fontId="19" fillId="2" borderId="17" xfId="0" applyFont="1" applyFill="1" applyBorder="1"/>
    <xf numFmtId="0" fontId="20" fillId="3" borderId="17" xfId="0" applyFont="1" applyFill="1" applyBorder="1"/>
    <xf numFmtId="0" fontId="20" fillId="2" borderId="19" xfId="0" applyFont="1" applyFill="1" applyBorder="1"/>
    <xf numFmtId="0" fontId="20" fillId="2" borderId="0" xfId="0" applyFont="1" applyFill="1" applyBorder="1"/>
    <xf numFmtId="0" fontId="20" fillId="2" borderId="7" xfId="0" applyFont="1" applyFill="1" applyBorder="1"/>
    <xf numFmtId="164" fontId="20" fillId="3" borderId="5" xfId="0" applyNumberFormat="1" applyFont="1" applyFill="1" applyBorder="1"/>
    <xf numFmtId="0" fontId="21" fillId="3" borderId="5" xfId="0" applyFont="1" applyFill="1" applyBorder="1"/>
    <xf numFmtId="0" fontId="20" fillId="2" borderId="4" xfId="0" applyFont="1" applyFill="1" applyBorder="1"/>
    <xf numFmtId="0" fontId="20" fillId="3" borderId="9" xfId="0" applyFont="1" applyFill="1" applyBorder="1"/>
    <xf numFmtId="0" fontId="20" fillId="2" borderId="9" xfId="0" applyFont="1" applyFill="1" applyBorder="1"/>
    <xf numFmtId="0" fontId="19" fillId="2" borderId="0" xfId="0" applyFont="1" applyFill="1" applyBorder="1"/>
    <xf numFmtId="0" fontId="19" fillId="3" borderId="0" xfId="0" applyFont="1" applyFill="1" applyBorder="1"/>
    <xf numFmtId="0" fontId="20" fillId="2" borderId="0" xfId="0" applyFont="1" applyFill="1"/>
    <xf numFmtId="0" fontId="20" fillId="3" borderId="10" xfId="0" applyFont="1" applyFill="1" applyBorder="1"/>
    <xf numFmtId="0" fontId="19" fillId="3" borderId="7" xfId="0" applyFont="1" applyFill="1" applyBorder="1"/>
    <xf numFmtId="0" fontId="19" fillId="3" borderId="9" xfId="0" applyFont="1" applyFill="1" applyBorder="1"/>
    <xf numFmtId="0" fontId="19" fillId="2" borderId="7" xfId="0" applyFont="1" applyFill="1" applyBorder="1"/>
    <xf numFmtId="0" fontId="19" fillId="2" borderId="9" xfId="0" applyFont="1" applyFill="1" applyBorder="1"/>
    <xf numFmtId="3" fontId="8" fillId="2" borderId="3" xfId="0" applyNumberFormat="1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2" fillId="0" borderId="0" xfId="0" applyFont="1" applyBorder="1"/>
    <xf numFmtId="0" fontId="4" fillId="2" borderId="0" xfId="0" applyFont="1" applyFill="1" applyBorder="1"/>
    <xf numFmtId="0" fontId="2" fillId="2" borderId="0" xfId="0" applyFont="1" applyFill="1" applyBorder="1" applyAlignment="1"/>
    <xf numFmtId="0" fontId="17" fillId="2" borderId="5" xfId="0" applyFont="1" applyFill="1" applyBorder="1" applyAlignment="1">
      <alignment horizontal="left"/>
    </xf>
    <xf numFmtId="0" fontId="3" fillId="3" borderId="17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67" xfId="0" applyFont="1" applyBorder="1"/>
    <xf numFmtId="0" fontId="14" fillId="2" borderId="5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left"/>
    </xf>
    <xf numFmtId="0" fontId="14" fillId="3" borderId="5" xfId="0" applyFont="1" applyFill="1" applyBorder="1" applyAlignment="1">
      <alignment horizontal="left"/>
    </xf>
    <xf numFmtId="0" fontId="24" fillId="2" borderId="9" xfId="0" applyFont="1" applyFill="1" applyBorder="1" applyAlignment="1">
      <alignment horizontal="left"/>
    </xf>
    <xf numFmtId="0" fontId="7" fillId="2" borderId="0" xfId="0" applyFont="1" applyFill="1"/>
    <xf numFmtId="0" fontId="7" fillId="3" borderId="5" xfId="0" applyFont="1" applyFill="1" applyBorder="1" applyAlignment="1">
      <alignment horizontal="left" vertical="center"/>
    </xf>
    <xf numFmtId="0" fontId="13" fillId="3" borderId="5" xfId="0" applyFont="1" applyFill="1" applyBorder="1" applyAlignment="1">
      <alignment horizontal="center"/>
    </xf>
    <xf numFmtId="0" fontId="17" fillId="2" borderId="7" xfId="0" applyFont="1" applyFill="1" applyBorder="1" applyAlignment="1">
      <alignment horizontal="left"/>
    </xf>
    <xf numFmtId="0" fontId="8" fillId="2" borderId="25" xfId="0" applyFont="1" applyFill="1" applyBorder="1" applyAlignment="1">
      <alignment vertical="center"/>
    </xf>
    <xf numFmtId="0" fontId="13" fillId="2" borderId="9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/>
    </xf>
    <xf numFmtId="0" fontId="12" fillId="2" borderId="5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left" vertical="center"/>
    </xf>
    <xf numFmtId="0" fontId="8" fillId="2" borderId="26" xfId="0" applyFont="1" applyFill="1" applyBorder="1" applyAlignment="1">
      <alignment vertical="center"/>
    </xf>
    <xf numFmtId="0" fontId="8" fillId="2" borderId="37" xfId="0" applyFont="1" applyFill="1" applyBorder="1" applyAlignment="1">
      <alignment horizontal="center" vertical="center" wrapText="1"/>
    </xf>
    <xf numFmtId="164" fontId="9" fillId="2" borderId="72" xfId="0" applyNumberFormat="1" applyFont="1" applyFill="1" applyBorder="1"/>
    <xf numFmtId="164" fontId="9" fillId="3" borderId="73" xfId="0" applyNumberFormat="1" applyFont="1" applyFill="1" applyBorder="1"/>
    <xf numFmtId="164" fontId="9" fillId="2" borderId="73" xfId="0" applyNumberFormat="1" applyFont="1" applyFill="1" applyBorder="1"/>
    <xf numFmtId="0" fontId="9" fillId="3" borderId="73" xfId="0" applyFont="1" applyFill="1" applyBorder="1"/>
    <xf numFmtId="0" fontId="9" fillId="2" borderId="73" xfId="0" applyFont="1" applyFill="1" applyBorder="1"/>
    <xf numFmtId="0" fontId="8" fillId="3" borderId="73" xfId="0" applyFont="1" applyFill="1" applyBorder="1"/>
    <xf numFmtId="0" fontId="8" fillId="2" borderId="73" xfId="0" applyFont="1" applyFill="1" applyBorder="1"/>
    <xf numFmtId="0" fontId="20" fillId="2" borderId="73" xfId="0" applyFont="1" applyFill="1" applyBorder="1"/>
    <xf numFmtId="0" fontId="19" fillId="3" borderId="73" xfId="0" applyFont="1" applyFill="1" applyBorder="1"/>
    <xf numFmtId="0" fontId="19" fillId="2" borderId="73" xfId="0" applyFont="1" applyFill="1" applyBorder="1"/>
    <xf numFmtId="0" fontId="20" fillId="3" borderId="73" xfId="0" applyFont="1" applyFill="1" applyBorder="1"/>
    <xf numFmtId="0" fontId="17" fillId="2" borderId="73" xfId="0" applyFont="1" applyFill="1" applyBorder="1"/>
    <xf numFmtId="0" fontId="8" fillId="2" borderId="68" xfId="0" applyFont="1" applyFill="1" applyBorder="1"/>
    <xf numFmtId="0" fontId="8" fillId="2" borderId="52" xfId="0" applyFont="1" applyFill="1" applyBorder="1"/>
    <xf numFmtId="0" fontId="8" fillId="2" borderId="30" xfId="0" applyFont="1" applyFill="1" applyBorder="1"/>
    <xf numFmtId="0" fontId="19" fillId="2" borderId="2" xfId="0" applyFont="1" applyFill="1" applyBorder="1"/>
    <xf numFmtId="0" fontId="8" fillId="2" borderId="2" xfId="0" applyFont="1" applyFill="1" applyBorder="1"/>
    <xf numFmtId="164" fontId="9" fillId="2" borderId="4" xfId="0" applyNumberFormat="1" applyFont="1" applyFill="1" applyBorder="1"/>
    <xf numFmtId="0" fontId="8" fillId="2" borderId="35" xfId="0" applyFont="1" applyFill="1" applyBorder="1" applyAlignment="1">
      <alignment horizontal="center" vertical="center" wrapText="1"/>
    </xf>
    <xf numFmtId="0" fontId="7" fillId="2" borderId="43" xfId="0" applyFont="1" applyFill="1" applyBorder="1" applyAlignment="1">
      <alignment horizontal="left"/>
    </xf>
    <xf numFmtId="0" fontId="20" fillId="3" borderId="43" xfId="0" applyFont="1" applyFill="1" applyBorder="1"/>
    <xf numFmtId="0" fontId="8" fillId="3" borderId="43" xfId="0" applyFont="1" applyFill="1" applyBorder="1"/>
    <xf numFmtId="0" fontId="16" fillId="3" borderId="43" xfId="0" applyFont="1" applyFill="1" applyBorder="1"/>
    <xf numFmtId="0" fontId="19" fillId="3" borderId="43" xfId="0" applyFont="1" applyFill="1" applyBorder="1"/>
    <xf numFmtId="0" fontId="8" fillId="2" borderId="43" xfId="0" applyFont="1" applyFill="1" applyBorder="1" applyAlignment="1">
      <alignment horizontal="left"/>
    </xf>
    <xf numFmtId="0" fontId="8" fillId="2" borderId="29" xfId="0" applyFont="1" applyFill="1" applyBorder="1" applyAlignment="1">
      <alignment vertical="center"/>
    </xf>
    <xf numFmtId="0" fontId="7" fillId="2" borderId="25" xfId="0" applyFont="1" applyFill="1" applyBorder="1" applyAlignment="1">
      <alignment horizontal="center" vertical="center"/>
    </xf>
    <xf numFmtId="0" fontId="7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vertical="center"/>
    </xf>
    <xf numFmtId="0" fontId="23" fillId="2" borderId="1" xfId="0" applyFont="1" applyFill="1" applyBorder="1" applyAlignment="1">
      <alignment horizontal="center" vertical="center" wrapText="1"/>
    </xf>
    <xf numFmtId="0" fontId="8" fillId="2" borderId="33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18" fillId="2" borderId="7" xfId="0" applyFont="1" applyFill="1" applyBorder="1"/>
    <xf numFmtId="164" fontId="18" fillId="3" borderId="5" xfId="0" applyNumberFormat="1" applyFont="1" applyFill="1" applyBorder="1"/>
    <xf numFmtId="164" fontId="18" fillId="2" borderId="5" xfId="0" applyNumberFormat="1" applyFont="1" applyFill="1" applyBorder="1"/>
    <xf numFmtId="0" fontId="18" fillId="3" borderId="5" xfId="0" applyFont="1" applyFill="1" applyBorder="1"/>
    <xf numFmtId="0" fontId="18" fillId="2" borderId="5" xfId="0" applyFont="1" applyFill="1" applyBorder="1"/>
    <xf numFmtId="0" fontId="13" fillId="3" borderId="19" xfId="0" applyFont="1" applyFill="1" applyBorder="1" applyAlignment="1">
      <alignment horizontal="center" vertical="center"/>
    </xf>
    <xf numFmtId="0" fontId="19" fillId="3" borderId="19" xfId="0" applyFont="1" applyFill="1" applyBorder="1"/>
    <xf numFmtId="0" fontId="8" fillId="2" borderId="19" xfId="0" applyFont="1" applyFill="1" applyBorder="1" applyAlignment="1">
      <alignment horizontal="center"/>
    </xf>
    <xf numFmtId="0" fontId="7" fillId="2" borderId="29" xfId="0" applyFont="1" applyFill="1" applyBorder="1" applyAlignment="1">
      <alignment horizontal="center" vertical="center"/>
    </xf>
    <xf numFmtId="0" fontId="7" fillId="2" borderId="28" xfId="0" applyFont="1" applyFill="1" applyBorder="1" applyAlignment="1">
      <alignment horizontal="center" vertical="center"/>
    </xf>
    <xf numFmtId="0" fontId="7" fillId="2" borderId="43" xfId="0" applyFont="1" applyFill="1" applyBorder="1" applyAlignment="1">
      <alignment horizontal="center" vertical="center" wrapText="1"/>
    </xf>
    <xf numFmtId="0" fontId="20" fillId="2" borderId="38" xfId="0" applyFont="1" applyFill="1" applyBorder="1"/>
    <xf numFmtId="0" fontId="16" fillId="2" borderId="43" xfId="0" applyFont="1" applyFill="1" applyBorder="1"/>
    <xf numFmtId="0" fontId="19" fillId="2" borderId="43" xfId="0" applyFont="1" applyFill="1" applyBorder="1"/>
    <xf numFmtId="0" fontId="7" fillId="3" borderId="9" xfId="0" applyFont="1" applyFill="1" applyBorder="1" applyAlignment="1">
      <alignment horizontal="right"/>
    </xf>
    <xf numFmtId="0" fontId="7" fillId="3" borderId="9" xfId="0" applyFont="1" applyFill="1" applyBorder="1" applyAlignment="1">
      <alignment horizontal="left" vertical="center"/>
    </xf>
    <xf numFmtId="0" fontId="16" fillId="3" borderId="19" xfId="0" applyFont="1" applyFill="1" applyBorder="1"/>
    <xf numFmtId="0" fontId="20" fillId="2" borderId="20" xfId="0" applyFont="1" applyFill="1" applyBorder="1"/>
    <xf numFmtId="0" fontId="7" fillId="2" borderId="25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left" vertical="center"/>
    </xf>
    <xf numFmtId="0" fontId="7" fillId="2" borderId="7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 wrapText="1"/>
    </xf>
    <xf numFmtId="0" fontId="18" fillId="2" borderId="64" xfId="0" applyFont="1" applyFill="1" applyBorder="1"/>
    <xf numFmtId="0" fontId="8" fillId="2" borderId="50" xfId="0" applyFont="1" applyFill="1" applyBorder="1" applyAlignment="1">
      <alignment horizontal="center"/>
    </xf>
    <xf numFmtId="0" fontId="19" fillId="2" borderId="56" xfId="0" applyFont="1" applyFill="1" applyBorder="1"/>
    <xf numFmtId="0" fontId="19" fillId="3" borderId="56" xfId="0" applyFont="1" applyFill="1" applyBorder="1"/>
    <xf numFmtId="0" fontId="19" fillId="3" borderId="79" xfId="0" applyFont="1" applyFill="1" applyBorder="1"/>
    <xf numFmtId="164" fontId="22" fillId="3" borderId="79" xfId="0" applyNumberFormat="1" applyFont="1" applyFill="1" applyBorder="1"/>
    <xf numFmtId="164" fontId="22" fillId="3" borderId="56" xfId="0" applyNumberFormat="1" applyFont="1" applyFill="1" applyBorder="1"/>
    <xf numFmtId="164" fontId="22" fillId="2" borderId="56" xfId="0" applyNumberFormat="1" applyFont="1" applyFill="1" applyBorder="1"/>
    <xf numFmtId="0" fontId="19" fillId="2" borderId="79" xfId="0" applyFont="1" applyFill="1" applyBorder="1"/>
    <xf numFmtId="0" fontId="22" fillId="3" borderId="79" xfId="0" applyFont="1" applyFill="1" applyBorder="1"/>
    <xf numFmtId="0" fontId="22" fillId="2" borderId="79" xfId="0" applyFont="1" applyFill="1" applyBorder="1"/>
    <xf numFmtId="0" fontId="22" fillId="3" borderId="56" xfId="0" applyFont="1" applyFill="1" applyBorder="1"/>
    <xf numFmtId="0" fontId="22" fillId="2" borderId="56" xfId="0" applyFont="1" applyFill="1" applyBorder="1"/>
    <xf numFmtId="0" fontId="20" fillId="3" borderId="56" xfId="0" applyFont="1" applyFill="1" applyBorder="1"/>
    <xf numFmtId="0" fontId="20" fillId="2" borderId="56" xfId="0" applyFont="1" applyFill="1" applyBorder="1"/>
    <xf numFmtId="0" fontId="8" fillId="3" borderId="56" xfId="0" applyFont="1" applyFill="1" applyBorder="1"/>
    <xf numFmtId="0" fontId="8" fillId="2" borderId="49" xfId="0" applyFont="1" applyFill="1" applyBorder="1" applyAlignment="1">
      <alignment horizontal="left"/>
    </xf>
    <xf numFmtId="0" fontId="8" fillId="3" borderId="48" xfId="0" applyFont="1" applyFill="1" applyBorder="1" applyAlignment="1">
      <alignment horizontal="left"/>
    </xf>
    <xf numFmtId="0" fontId="8" fillId="2" borderId="48" xfId="0" applyFont="1" applyFill="1" applyBorder="1" applyAlignment="1">
      <alignment horizontal="left"/>
    </xf>
    <xf numFmtId="0" fontId="8" fillId="2" borderId="51" xfId="0" applyFont="1" applyFill="1" applyBorder="1" applyAlignment="1">
      <alignment horizontal="left"/>
    </xf>
    <xf numFmtId="0" fontId="7" fillId="2" borderId="80" xfId="0" applyFont="1" applyFill="1" applyBorder="1" applyAlignment="1">
      <alignment horizontal="center" vertical="center"/>
    </xf>
    <xf numFmtId="0" fontId="8" fillId="2" borderId="80" xfId="0" applyFont="1" applyFill="1" applyBorder="1" applyAlignment="1">
      <alignment horizontal="center"/>
    </xf>
    <xf numFmtId="0" fontId="8" fillId="2" borderId="80" xfId="0" applyFont="1" applyFill="1" applyBorder="1"/>
    <xf numFmtId="0" fontId="8" fillId="2" borderId="80" xfId="0" applyFont="1" applyFill="1" applyBorder="1" applyAlignment="1">
      <alignment vertical="center"/>
    </xf>
    <xf numFmtId="0" fontId="7" fillId="2" borderId="80" xfId="0" applyFont="1" applyFill="1" applyBorder="1" applyAlignment="1">
      <alignment horizontal="center" vertical="center" wrapText="1"/>
    </xf>
    <xf numFmtId="0" fontId="8" fillId="2" borderId="80" xfId="0" applyFont="1" applyFill="1" applyBorder="1" applyAlignment="1">
      <alignment horizontal="center" vertical="center" wrapText="1"/>
    </xf>
    <xf numFmtId="0" fontId="18" fillId="2" borderId="80" xfId="0" applyFont="1" applyFill="1" applyBorder="1"/>
    <xf numFmtId="0" fontId="19" fillId="2" borderId="80" xfId="0" applyFont="1" applyFill="1" applyBorder="1"/>
    <xf numFmtId="0" fontId="19" fillId="3" borderId="80" xfId="0" applyFont="1" applyFill="1" applyBorder="1"/>
    <xf numFmtId="164" fontId="22" fillId="3" borderId="80" xfId="0" applyNumberFormat="1" applyFont="1" applyFill="1" applyBorder="1"/>
    <xf numFmtId="164" fontId="22" fillId="2" borderId="80" xfId="0" applyNumberFormat="1" applyFont="1" applyFill="1" applyBorder="1"/>
    <xf numFmtId="0" fontId="22" fillId="3" borderId="80" xfId="0" applyFont="1" applyFill="1" applyBorder="1"/>
    <xf numFmtId="0" fontId="22" fillId="2" borderId="80" xfId="0" applyFont="1" applyFill="1" applyBorder="1"/>
    <xf numFmtId="0" fontId="20" fillId="3" borderId="80" xfId="0" applyFont="1" applyFill="1" applyBorder="1"/>
    <xf numFmtId="0" fontId="20" fillId="2" borderId="80" xfId="0" applyFont="1" applyFill="1" applyBorder="1"/>
    <xf numFmtId="0" fontId="8" fillId="3" borderId="80" xfId="0" applyFont="1" applyFill="1" applyBorder="1"/>
    <xf numFmtId="0" fontId="4" fillId="0" borderId="8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3" fillId="0" borderId="82" xfId="0" applyFont="1" applyBorder="1"/>
    <xf numFmtId="0" fontId="3" fillId="3" borderId="83" xfId="0" applyFont="1" applyFill="1" applyBorder="1"/>
    <xf numFmtId="0" fontId="3" fillId="0" borderId="83" xfId="0" applyFont="1" applyBorder="1"/>
    <xf numFmtId="0" fontId="3" fillId="2" borderId="83" xfId="0" applyFont="1" applyFill="1" applyBorder="1"/>
    <xf numFmtId="0" fontId="3" fillId="3" borderId="67" xfId="0" applyFont="1" applyFill="1" applyBorder="1"/>
    <xf numFmtId="0" fontId="4" fillId="0" borderId="42" xfId="0" applyFont="1" applyBorder="1" applyAlignment="1">
      <alignment horizontal="left"/>
    </xf>
    <xf numFmtId="0" fontId="4" fillId="0" borderId="47" xfId="0" applyFont="1" applyBorder="1" applyAlignment="1">
      <alignment horizontal="left"/>
    </xf>
    <xf numFmtId="0" fontId="2" fillId="0" borderId="46" xfId="0" applyFont="1" applyBorder="1" applyAlignment="1">
      <alignment horizontal="left"/>
    </xf>
    <xf numFmtId="0" fontId="7" fillId="2" borderId="5" xfId="0" applyFont="1" applyFill="1" applyBorder="1" applyAlignment="1">
      <alignment horizontal="right"/>
    </xf>
    <xf numFmtId="0" fontId="25" fillId="3" borderId="10" xfId="0" applyFont="1" applyFill="1" applyBorder="1" applyAlignment="1">
      <alignment horizontal="center" vertical="center"/>
    </xf>
    <xf numFmtId="0" fontId="13" fillId="2" borderId="19" xfId="0" applyFont="1" applyFill="1" applyBorder="1" applyAlignment="1">
      <alignment horizontal="center" vertical="center"/>
    </xf>
    <xf numFmtId="0" fontId="3" fillId="0" borderId="18" xfId="0" applyFont="1" applyBorder="1"/>
    <xf numFmtId="3" fontId="7" fillId="2" borderId="0" xfId="0" applyNumberFormat="1" applyFont="1" applyFill="1" applyBorder="1" applyAlignment="1">
      <alignment horizontal="center"/>
    </xf>
    <xf numFmtId="3" fontId="7" fillId="2" borderId="0" xfId="0" applyNumberFormat="1" applyFont="1" applyFill="1" applyBorder="1" applyAlignment="1">
      <alignment horizontal="center" vertical="center"/>
    </xf>
    <xf numFmtId="3" fontId="7" fillId="2" borderId="28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Alignment="1">
      <alignment horizontal="center"/>
    </xf>
    <xf numFmtId="0" fontId="7" fillId="2" borderId="5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left" vertical="center"/>
    </xf>
    <xf numFmtId="0" fontId="12" fillId="3" borderId="5" xfId="0" applyFont="1" applyFill="1" applyBorder="1" applyAlignment="1">
      <alignment horizontal="left"/>
    </xf>
    <xf numFmtId="0" fontId="7" fillId="2" borderId="9" xfId="0" applyFont="1" applyFill="1" applyBorder="1" applyAlignment="1">
      <alignment horizontal="center" vertical="center"/>
    </xf>
    <xf numFmtId="0" fontId="3" fillId="0" borderId="30" xfId="0" applyFont="1" applyBorder="1"/>
    <xf numFmtId="0" fontId="12" fillId="2" borderId="4" xfId="0" applyFont="1" applyFill="1" applyBorder="1" applyAlignment="1">
      <alignment horizontal="left"/>
    </xf>
    <xf numFmtId="0" fontId="3" fillId="2" borderId="4" xfId="0" applyFont="1" applyFill="1" applyBorder="1"/>
    <xf numFmtId="0" fontId="3" fillId="0" borderId="31" xfId="0" applyFont="1" applyBorder="1"/>
    <xf numFmtId="0" fontId="8" fillId="2" borderId="16" xfId="0" applyFont="1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top"/>
    </xf>
    <xf numFmtId="0" fontId="12" fillId="2" borderId="19" xfId="0" applyFont="1" applyFill="1" applyBorder="1" applyAlignment="1">
      <alignment horizontal="left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6" fillId="2" borderId="5" xfId="0" applyFont="1" applyFill="1" applyBorder="1" applyAlignment="1">
      <alignment horizontal="left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7" fillId="2" borderId="9" xfId="0" applyFont="1" applyFill="1" applyBorder="1" applyAlignment="1">
      <alignment horizontal="left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7" fillId="2" borderId="4" xfId="0" applyFont="1" applyFill="1" applyBorder="1" applyAlignment="1">
      <alignment horizontal="left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3" borderId="5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2" borderId="28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center" vertical="center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8" fillId="2" borderId="43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30" fillId="2" borderId="4" xfId="0" applyFont="1" applyFill="1" applyBorder="1"/>
    <xf numFmtId="0" fontId="29" fillId="3" borderId="16" xfId="0" applyFont="1" applyFill="1" applyBorder="1" applyAlignment="1">
      <alignment horizontal="left"/>
    </xf>
    <xf numFmtId="0" fontId="31" fillId="3" borderId="5" xfId="0" applyFont="1" applyFill="1" applyBorder="1" applyAlignment="1">
      <alignment horizontal="left"/>
    </xf>
    <xf numFmtId="0" fontId="32" fillId="3" borderId="5" xfId="0" applyFont="1" applyFill="1" applyBorder="1"/>
    <xf numFmtId="0" fontId="33" fillId="3" borderId="5" xfId="0" applyFont="1" applyFill="1" applyBorder="1"/>
    <xf numFmtId="0" fontId="29" fillId="3" borderId="5" xfId="0" applyFont="1" applyFill="1" applyBorder="1" applyAlignment="1">
      <alignment horizontal="left"/>
    </xf>
    <xf numFmtId="0" fontId="29" fillId="3" borderId="73" xfId="0" applyFont="1" applyFill="1" applyBorder="1"/>
    <xf numFmtId="0" fontId="29" fillId="2" borderId="0" xfId="0" applyFont="1" applyFill="1"/>
    <xf numFmtId="0" fontId="32" fillId="2" borderId="5" xfId="0" applyFont="1" applyFill="1" applyBorder="1"/>
    <xf numFmtId="0" fontId="29" fillId="3" borderId="0" xfId="0" applyFont="1" applyFill="1"/>
    <xf numFmtId="0" fontId="33" fillId="2" borderId="5" xfId="0" applyFont="1" applyFill="1" applyBorder="1"/>
    <xf numFmtId="0" fontId="29" fillId="3" borderId="5" xfId="0" applyFont="1" applyFill="1" applyBorder="1"/>
    <xf numFmtId="0" fontId="29" fillId="3" borderId="17" xfId="0" applyFont="1" applyFill="1" applyBorder="1"/>
    <xf numFmtId="0" fontId="31" fillId="2" borderId="5" xfId="0" applyFont="1" applyFill="1" applyBorder="1" applyAlignment="1">
      <alignment horizontal="left"/>
    </xf>
    <xf numFmtId="0" fontId="33" fillId="3" borderId="56" xfId="0" applyFont="1" applyFill="1" applyBorder="1"/>
    <xf numFmtId="0" fontId="33" fillId="3" borderId="80" xfId="0" applyFont="1" applyFill="1" applyBorder="1"/>
    <xf numFmtId="0" fontId="29" fillId="3" borderId="10" xfId="0" applyFont="1" applyFill="1" applyBorder="1" applyAlignment="1">
      <alignment horizontal="left"/>
    </xf>
    <xf numFmtId="0" fontId="31" fillId="3" borderId="5" xfId="0" applyFont="1" applyFill="1" applyBorder="1" applyAlignment="1">
      <alignment horizontal="left" vertical="center"/>
    </xf>
    <xf numFmtId="0" fontId="31" fillId="3" borderId="5" xfId="0" applyFont="1" applyFill="1" applyBorder="1"/>
    <xf numFmtId="0" fontId="29" fillId="3" borderId="80" xfId="0" applyFont="1" applyFill="1" applyBorder="1"/>
    <xf numFmtId="0" fontId="33" fillId="3" borderId="17" xfId="0" applyFont="1" applyFill="1" applyBorder="1"/>
    <xf numFmtId="0" fontId="31" fillId="2" borderId="22" xfId="0" applyFont="1" applyFill="1" applyBorder="1"/>
    <xf numFmtId="0" fontId="29" fillId="2" borderId="23" xfId="0" applyFont="1" applyFill="1" applyBorder="1"/>
    <xf numFmtId="0" fontId="34" fillId="2" borderId="30" xfId="0" applyFont="1" applyFill="1" applyBorder="1"/>
    <xf numFmtId="0" fontId="35" fillId="2" borderId="4" xfId="0" applyFont="1" applyFill="1" applyBorder="1" applyAlignment="1">
      <alignment horizontal="left"/>
    </xf>
    <xf numFmtId="0" fontId="36" fillId="2" borderId="4" xfId="0" applyFont="1" applyFill="1" applyBorder="1"/>
    <xf numFmtId="0" fontId="37" fillId="2" borderId="2" xfId="0" applyFont="1" applyFill="1" applyBorder="1"/>
    <xf numFmtId="0" fontId="34" fillId="2" borderId="2" xfId="0" applyFont="1" applyFill="1" applyBorder="1"/>
    <xf numFmtId="0" fontId="35" fillId="2" borderId="4" xfId="0" applyFont="1" applyFill="1" applyBorder="1"/>
    <xf numFmtId="164" fontId="34" fillId="2" borderId="4" xfId="0" applyNumberFormat="1" applyFont="1" applyFill="1" applyBorder="1"/>
    <xf numFmtId="164" fontId="34" fillId="2" borderId="72" xfId="0" applyNumberFormat="1" applyFont="1" applyFill="1" applyBorder="1"/>
    <xf numFmtId="0" fontId="34" fillId="2" borderId="0" xfId="0" applyFont="1" applyFill="1"/>
    <xf numFmtId="0" fontId="34" fillId="2" borderId="34" xfId="0" applyFont="1" applyFill="1" applyBorder="1" applyAlignment="1">
      <alignment horizontal="left"/>
    </xf>
    <xf numFmtId="0" fontId="35" fillId="2" borderId="7" xfId="0" applyFont="1" applyFill="1" applyBorder="1" applyAlignment="1">
      <alignment horizontal="left"/>
    </xf>
    <xf numFmtId="0" fontId="37" fillId="2" borderId="7" xfId="0" applyFont="1" applyFill="1" applyBorder="1"/>
    <xf numFmtId="0" fontId="34" fillId="2" borderId="5" xfId="0" applyFont="1" applyFill="1" applyBorder="1"/>
    <xf numFmtId="0" fontId="34" fillId="2" borderId="7" xfId="0" applyFont="1" applyFill="1" applyBorder="1"/>
    <xf numFmtId="0" fontId="34" fillId="2" borderId="17" xfId="0" applyFont="1" applyFill="1" applyBorder="1"/>
    <xf numFmtId="0" fontId="38" fillId="2" borderId="7" xfId="0" applyFont="1" applyFill="1" applyBorder="1" applyAlignment="1">
      <alignment horizontal="left"/>
    </xf>
    <xf numFmtId="0" fontId="36" fillId="3" borderId="5" xfId="0" applyFont="1" applyFill="1" applyBorder="1"/>
    <xf numFmtId="0" fontId="37" fillId="3" borderId="7" xfId="0" applyFont="1" applyFill="1" applyBorder="1"/>
    <xf numFmtId="0" fontId="36" fillId="2" borderId="7" xfId="0" applyFont="1" applyFill="1" applyBorder="1" applyAlignment="1">
      <alignment horizontal="left"/>
    </xf>
    <xf numFmtId="0" fontId="36" fillId="2" borderId="7" xfId="0" applyFont="1" applyFill="1" applyBorder="1"/>
    <xf numFmtId="0" fontId="36" fillId="2" borderId="64" xfId="0" applyFont="1" applyFill="1" applyBorder="1"/>
    <xf numFmtId="0" fontId="36" fillId="2" borderId="80" xfId="0" applyFont="1" applyFill="1" applyBorder="1"/>
    <xf numFmtId="0" fontId="34" fillId="2" borderId="49" xfId="0" applyFont="1" applyFill="1" applyBorder="1" applyAlignment="1">
      <alignment horizontal="left"/>
    </xf>
    <xf numFmtId="0" fontId="37" fillId="2" borderId="4" xfId="0" applyFont="1" applyFill="1" applyBorder="1"/>
    <xf numFmtId="0" fontId="34" fillId="2" borderId="31" xfId="0" applyFont="1" applyFill="1" applyBorder="1"/>
    <xf numFmtId="0" fontId="34" fillId="2" borderId="80" xfId="0" applyFont="1" applyFill="1" applyBorder="1"/>
    <xf numFmtId="0" fontId="37" fillId="2" borderId="38" xfId="0" applyFont="1" applyFill="1" applyBorder="1"/>
    <xf numFmtId="0" fontId="29" fillId="2" borderId="1" xfId="0" applyFont="1" applyFill="1" applyBorder="1" applyAlignment="1">
      <alignment horizontal="center" wrapText="1"/>
    </xf>
    <xf numFmtId="0" fontId="29" fillId="2" borderId="1" xfId="0" applyFont="1" applyFill="1" applyBorder="1" applyAlignment="1">
      <alignment horizontal="center" vertical="center" wrapText="1"/>
    </xf>
    <xf numFmtId="0" fontId="8" fillId="5" borderId="16" xfId="0" applyFont="1" applyFill="1" applyBorder="1"/>
    <xf numFmtId="0" fontId="7" fillId="5" borderId="5" xfId="0" applyFont="1" applyFill="1" applyBorder="1" applyAlignment="1">
      <alignment horizontal="left"/>
    </xf>
    <xf numFmtId="0" fontId="16" fillId="5" borderId="5" xfId="0" applyFont="1" applyFill="1" applyBorder="1"/>
    <xf numFmtId="0" fontId="19" fillId="5" borderId="5" xfId="0" applyFont="1" applyFill="1" applyBorder="1"/>
    <xf numFmtId="0" fontId="8" fillId="5" borderId="5" xfId="0" applyFont="1" applyFill="1" applyBorder="1"/>
    <xf numFmtId="164" fontId="9" fillId="5" borderId="5" xfId="0" applyNumberFormat="1" applyFont="1" applyFill="1" applyBorder="1"/>
    <xf numFmtId="164" fontId="9" fillId="5" borderId="73" xfId="0" applyNumberFormat="1" applyFont="1" applyFill="1" applyBorder="1"/>
    <xf numFmtId="0" fontId="8" fillId="5" borderId="0" xfId="0" applyFont="1" applyFill="1"/>
    <xf numFmtId="0" fontId="8" fillId="5" borderId="16" xfId="0" applyFont="1" applyFill="1" applyBorder="1" applyAlignment="1">
      <alignment horizontal="left"/>
    </xf>
    <xf numFmtId="0" fontId="8" fillId="5" borderId="17" xfId="0" applyFont="1" applyFill="1" applyBorder="1"/>
    <xf numFmtId="0" fontId="8" fillId="5" borderId="5" xfId="0" applyFont="1" applyFill="1" applyBorder="1" applyAlignment="1">
      <alignment horizontal="left"/>
    </xf>
    <xf numFmtId="0" fontId="19" fillId="5" borderId="7" xfId="0" applyFont="1" applyFill="1" applyBorder="1"/>
    <xf numFmtId="0" fontId="7" fillId="5" borderId="7" xfId="0" applyFont="1" applyFill="1" applyBorder="1" applyAlignment="1">
      <alignment horizontal="left"/>
    </xf>
    <xf numFmtId="0" fontId="19" fillId="5" borderId="56" xfId="0" applyFont="1" applyFill="1" applyBorder="1"/>
    <xf numFmtId="0" fontId="19" fillId="5" borderId="80" xfId="0" applyFont="1" applyFill="1" applyBorder="1"/>
    <xf numFmtId="0" fontId="8" fillId="5" borderId="10" xfId="0" applyFont="1" applyFill="1" applyBorder="1" applyAlignment="1">
      <alignment horizontal="left"/>
    </xf>
    <xf numFmtId="0" fontId="17" fillId="5" borderId="5" xfId="0" applyFont="1" applyFill="1" applyBorder="1"/>
    <xf numFmtId="0" fontId="20" fillId="5" borderId="5" xfId="0" applyFont="1" applyFill="1" applyBorder="1"/>
    <xf numFmtId="0" fontId="7" fillId="5" borderId="5" xfId="0" applyFont="1" applyFill="1" applyBorder="1"/>
    <xf numFmtId="0" fontId="8" fillId="5" borderId="80" xfId="0" applyFont="1" applyFill="1" applyBorder="1"/>
    <xf numFmtId="0" fontId="20" fillId="5" borderId="17" xfId="0" applyFont="1" applyFill="1" applyBorder="1"/>
    <xf numFmtId="0" fontId="8" fillId="4" borderId="16" xfId="0" applyFont="1" applyFill="1" applyBorder="1" applyAlignment="1">
      <alignment horizontal="left"/>
    </xf>
    <xf numFmtId="0" fontId="8" fillId="4" borderId="16" xfId="0" applyFont="1" applyFill="1" applyBorder="1"/>
    <xf numFmtId="0" fontId="4" fillId="2" borderId="56" xfId="0" applyFont="1" applyFill="1" applyBorder="1" applyAlignment="1">
      <alignment horizontal="left"/>
    </xf>
    <xf numFmtId="0" fontId="4" fillId="2" borderId="10" xfId="0" applyFont="1" applyFill="1" applyBorder="1" applyAlignment="1">
      <alignment horizontal="left"/>
    </xf>
    <xf numFmtId="0" fontId="8" fillId="3" borderId="50" xfId="0" applyFont="1" applyFill="1" applyBorder="1" applyAlignment="1">
      <alignment horizontal="center"/>
    </xf>
    <xf numFmtId="0" fontId="8" fillId="3" borderId="51" xfId="0" applyFont="1" applyFill="1" applyBorder="1" applyAlignment="1">
      <alignment horizontal="center"/>
    </xf>
    <xf numFmtId="0" fontId="8" fillId="3" borderId="52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center" vertical="center" wrapText="1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wrapText="1"/>
    </xf>
    <xf numFmtId="0" fontId="8" fillId="2" borderId="12" xfId="0" applyFont="1" applyFill="1" applyBorder="1" applyAlignment="1">
      <alignment horizontal="center" wrapText="1"/>
    </xf>
    <xf numFmtId="0" fontId="8" fillId="2" borderId="13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35" xfId="0" applyFont="1" applyFill="1" applyBorder="1" applyAlignment="1">
      <alignment horizont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57" xfId="0" applyFont="1" applyFill="1" applyBorder="1" applyAlignment="1">
      <alignment horizontal="center" vertical="center" wrapText="1"/>
    </xf>
    <xf numFmtId="0" fontId="7" fillId="2" borderId="58" xfId="0" applyFont="1" applyFill="1" applyBorder="1" applyAlignment="1">
      <alignment horizontal="center" vertical="center" wrapText="1"/>
    </xf>
    <xf numFmtId="0" fontId="7" fillId="2" borderId="5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/>
    </xf>
    <xf numFmtId="0" fontId="7" fillId="2" borderId="24" xfId="0" applyFont="1" applyFill="1" applyBorder="1" applyAlignment="1">
      <alignment horizontal="center"/>
    </xf>
    <xf numFmtId="0" fontId="7" fillId="2" borderId="22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28" xfId="0" applyFont="1" applyFill="1" applyBorder="1" applyAlignment="1">
      <alignment horizontal="center"/>
    </xf>
    <xf numFmtId="0" fontId="7" fillId="2" borderId="29" xfId="0" applyFont="1" applyFill="1" applyBorder="1" applyAlignment="1">
      <alignment horizontal="center"/>
    </xf>
    <xf numFmtId="0" fontId="8" fillId="2" borderId="44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/>
    </xf>
    <xf numFmtId="0" fontId="7" fillId="2" borderId="45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4" fillId="2" borderId="53" xfId="0" applyFont="1" applyFill="1" applyBorder="1" applyAlignment="1">
      <alignment horizontal="center" wrapText="1"/>
    </xf>
    <xf numFmtId="0" fontId="4" fillId="2" borderId="21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left" vertical="center"/>
    </xf>
    <xf numFmtId="0" fontId="4" fillId="0" borderId="32" xfId="0" applyFont="1" applyBorder="1" applyAlignment="1">
      <alignment horizontal="left" vertic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53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8" fillId="2" borderId="2" xfId="0" applyFont="1" applyFill="1" applyBorder="1" applyAlignment="1">
      <alignment horizontal="center" wrapText="1"/>
    </xf>
    <xf numFmtId="0" fontId="8" fillId="2" borderId="3" xfId="0" applyFont="1" applyFill="1" applyBorder="1" applyAlignment="1">
      <alignment horizontal="center" wrapText="1"/>
    </xf>
    <xf numFmtId="0" fontId="8" fillId="2" borderId="2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0" fontId="8" fillId="2" borderId="54" xfId="0" applyFont="1" applyFill="1" applyBorder="1" applyAlignment="1">
      <alignment horizontal="center"/>
    </xf>
    <xf numFmtId="0" fontId="8" fillId="2" borderId="43" xfId="0" applyFont="1" applyFill="1" applyBorder="1" applyAlignment="1">
      <alignment horizontal="center"/>
    </xf>
    <xf numFmtId="0" fontId="8" fillId="2" borderId="74" xfId="0" applyFont="1" applyFill="1" applyBorder="1" applyAlignment="1">
      <alignment horizontal="center"/>
    </xf>
    <xf numFmtId="0" fontId="8" fillId="2" borderId="7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7" fillId="2" borderId="63" xfId="0" applyFont="1" applyFill="1" applyBorder="1" applyAlignment="1">
      <alignment horizontal="center" vertical="center"/>
    </xf>
    <xf numFmtId="0" fontId="7" fillId="2" borderId="61" xfId="0" applyFont="1" applyFill="1" applyBorder="1" applyAlignment="1">
      <alignment horizontal="center" vertical="center"/>
    </xf>
    <xf numFmtId="0" fontId="7" fillId="2" borderId="78" xfId="0" applyFont="1" applyFill="1" applyBorder="1" applyAlignment="1">
      <alignment horizontal="center" vertical="center"/>
    </xf>
    <xf numFmtId="0" fontId="7" fillId="2" borderId="7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26" xfId="0" applyFont="1" applyFill="1" applyBorder="1" applyAlignment="1">
      <alignment horizontal="left" vertical="center"/>
    </xf>
    <xf numFmtId="0" fontId="8" fillId="2" borderId="69" xfId="0" applyFont="1" applyFill="1" applyBorder="1" applyAlignment="1">
      <alignment horizontal="left" vertical="center"/>
    </xf>
    <xf numFmtId="0" fontId="8" fillId="2" borderId="8" xfId="0" applyFont="1" applyFill="1" applyBorder="1" applyAlignment="1">
      <alignment horizontal="left" vertical="center"/>
    </xf>
    <xf numFmtId="0" fontId="8" fillId="2" borderId="40" xfId="0" applyFont="1" applyFill="1" applyBorder="1" applyAlignment="1">
      <alignment horizontal="left" vertical="center"/>
    </xf>
    <xf numFmtId="0" fontId="8" fillId="2" borderId="27" xfId="0" applyFont="1" applyFill="1" applyBorder="1" applyAlignment="1">
      <alignment horizontal="left" vertical="center"/>
    </xf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63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75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7" fillId="2" borderId="62" xfId="0" applyFont="1" applyFill="1" applyBorder="1" applyAlignment="1">
      <alignment horizontal="center" vertical="center" wrapText="1"/>
    </xf>
    <xf numFmtId="0" fontId="7" fillId="2" borderId="76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left"/>
    </xf>
    <xf numFmtId="0" fontId="2" fillId="2" borderId="51" xfId="0" applyFont="1" applyFill="1" applyBorder="1" applyAlignment="1">
      <alignment horizontal="left"/>
    </xf>
    <xf numFmtId="0" fontId="7" fillId="2" borderId="77" xfId="0" applyFont="1" applyFill="1" applyBorder="1" applyAlignment="1">
      <alignment horizontal="center" vertical="center" wrapText="1"/>
    </xf>
    <xf numFmtId="0" fontId="7" fillId="2" borderId="26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0" fontId="8" fillId="2" borderId="54" xfId="0" applyFont="1" applyFill="1" applyBorder="1" applyAlignment="1">
      <alignment horizontal="center" vertical="center" wrapText="1"/>
    </xf>
    <xf numFmtId="0" fontId="8" fillId="2" borderId="2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41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84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14" xfId="0" applyFont="1" applyBorder="1" applyAlignment="1">
      <alignment horizontal="left" vertical="center"/>
    </xf>
    <xf numFmtId="0" fontId="2" fillId="3" borderId="56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U132"/>
  <sheetViews>
    <sheetView topLeftCell="P1"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119</v>
      </c>
      <c r="B2" s="57"/>
      <c r="C2" s="58"/>
      <c r="D2" s="59"/>
      <c r="E2" s="59"/>
      <c r="F2" s="59"/>
      <c r="G2" s="59"/>
      <c r="H2" s="60"/>
      <c r="J2" s="56" t="str">
        <f>A2</f>
        <v>Ngày 1 tháng 8 năm 2016</v>
      </c>
      <c r="K2" s="57"/>
      <c r="L2" s="58"/>
      <c r="M2" s="59"/>
      <c r="N2" s="59"/>
      <c r="O2" s="59"/>
      <c r="P2" s="59"/>
      <c r="Q2" s="60"/>
      <c r="S2" s="56" t="str">
        <f>A2</f>
        <v>Ngày 1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1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189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700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1000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/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300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700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1000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500</v>
      </c>
      <c r="X9" s="109"/>
      <c r="Y9" s="107"/>
      <c r="Z9" s="198" t="s">
        <v>141</v>
      </c>
      <c r="AA9" s="109"/>
      <c r="AB9" s="110"/>
      <c r="AC9" s="103" t="s">
        <v>44</v>
      </c>
      <c r="AD9" s="71"/>
      <c r="AE9" s="71"/>
      <c r="AF9" s="71"/>
      <c r="AG9" s="71">
        <v>300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 t="s">
        <v>120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 t="s">
        <v>131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/>
      <c r="AA10" s="90"/>
      <c r="AB10" s="91"/>
      <c r="AC10" s="103" t="s">
        <v>40</v>
      </c>
      <c r="AD10" s="81">
        <v>400</v>
      </c>
      <c r="AE10" s="71"/>
      <c r="AF10" s="71"/>
      <c r="AG10" s="111"/>
      <c r="AH10" s="71"/>
      <c r="AI10" s="71"/>
      <c r="AJ10" s="81"/>
      <c r="AK10" s="71"/>
      <c r="AL10" s="71"/>
      <c r="AM10" s="81">
        <v>300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 t="s">
        <v>126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 t="s">
        <v>135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>
        <v>600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 t="s">
        <v>128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2000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3000</v>
      </c>
      <c r="X12" s="113"/>
      <c r="Y12" s="90"/>
      <c r="Z12" s="111"/>
      <c r="AA12" s="113"/>
      <c r="AB12" s="91"/>
      <c r="AC12" s="105" t="s">
        <v>112</v>
      </c>
      <c r="AD12" s="81"/>
      <c r="AE12" s="71"/>
      <c r="AF12" s="71"/>
      <c r="AG12" s="81"/>
      <c r="AH12" s="71"/>
      <c r="AI12" s="71"/>
      <c r="AJ12" s="81"/>
      <c r="AK12" s="71"/>
      <c r="AL12" s="71"/>
      <c r="AM12" s="81">
        <v>600</v>
      </c>
      <c r="AN12" s="71"/>
      <c r="AO12" s="71"/>
      <c r="AP12" s="81"/>
      <c r="AQ12" s="71"/>
      <c r="AR12" s="71"/>
      <c r="AS12" s="81">
        <v>400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 t="s">
        <v>124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 t="s">
        <v>132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1600</v>
      </c>
      <c r="X13" s="101"/>
      <c r="Y13" s="99"/>
      <c r="Z13" s="104">
        <v>650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 t="s">
        <v>124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 t="s">
        <v>132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1600</v>
      </c>
      <c r="X14" s="113"/>
      <c r="Y14" s="90"/>
      <c r="Z14" s="104">
        <v>650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 t="s">
        <v>124</v>
      </c>
      <c r="C15" s="71"/>
      <c r="D15" s="71"/>
      <c r="E15" s="115"/>
      <c r="F15" s="71"/>
      <c r="G15" s="99"/>
      <c r="H15" s="102"/>
      <c r="J15" s="105" t="s">
        <v>61</v>
      </c>
      <c r="K15" s="120" t="s">
        <v>132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1600</v>
      </c>
      <c r="X15" s="99"/>
      <c r="Y15" s="99"/>
      <c r="Z15" s="104">
        <v>650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 t="s">
        <v>124</v>
      </c>
      <c r="C16" s="81"/>
      <c r="D16" s="81"/>
      <c r="E16" s="118"/>
      <c r="F16" s="81"/>
      <c r="G16" s="90"/>
      <c r="H16" s="91"/>
      <c r="J16" s="105" t="s">
        <v>62</v>
      </c>
      <c r="K16" s="120" t="s">
        <v>132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1600</v>
      </c>
      <c r="X16" s="90"/>
      <c r="Y16" s="90"/>
      <c r="Z16" s="104">
        <v>650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 t="s">
        <v>124</v>
      </c>
      <c r="C17" s="71"/>
      <c r="D17" s="71"/>
      <c r="E17" s="115"/>
      <c r="F17" s="104"/>
      <c r="G17" s="71"/>
      <c r="H17" s="102"/>
      <c r="J17" s="105" t="s">
        <v>74</v>
      </c>
      <c r="K17" s="120" t="s">
        <v>132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1200</v>
      </c>
      <c r="X17" s="101"/>
      <c r="Y17" s="99"/>
      <c r="Z17" s="104">
        <v>650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300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 t="s">
        <v>121</v>
      </c>
      <c r="C18" s="81"/>
      <c r="D18" s="81"/>
      <c r="E18" s="119"/>
      <c r="F18" s="81"/>
      <c r="G18" s="81"/>
      <c r="H18" s="91"/>
      <c r="J18" s="103" t="s">
        <v>81</v>
      </c>
      <c r="K18" s="119" t="s">
        <v>132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400</v>
      </c>
      <c r="X18" s="90"/>
      <c r="Y18" s="90"/>
      <c r="Z18" s="111"/>
      <c r="AA18" s="90"/>
      <c r="AB18" s="91"/>
      <c r="AC18" s="103" t="s">
        <v>81</v>
      </c>
      <c r="AD18" s="81">
        <v>400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111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 t="s">
        <v>130</v>
      </c>
      <c r="C19" s="71"/>
      <c r="D19" s="71"/>
      <c r="E19" s="120"/>
      <c r="F19" s="71"/>
      <c r="G19" s="71"/>
      <c r="H19" s="102"/>
      <c r="J19" s="121" t="s">
        <v>113</v>
      </c>
      <c r="K19" s="120" t="s">
        <v>136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17600</v>
      </c>
      <c r="X19" s="99"/>
      <c r="Y19" s="99"/>
      <c r="Z19" s="104">
        <v>9950</v>
      </c>
      <c r="AA19" s="99"/>
      <c r="AB19" s="102"/>
      <c r="AC19" s="121" t="s">
        <v>113</v>
      </c>
      <c r="AD19" s="71"/>
      <c r="AE19" s="71"/>
      <c r="AF19" s="71"/>
      <c r="AG19" s="71">
        <v>2100</v>
      </c>
      <c r="AH19" s="71"/>
      <c r="AI19" s="71"/>
      <c r="AJ19" s="71"/>
      <c r="AK19" s="71"/>
      <c r="AL19" s="71"/>
      <c r="AM19" s="71"/>
      <c r="AN19" s="71"/>
      <c r="AO19" s="71"/>
      <c r="AP19" s="120" t="s">
        <v>140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1400</v>
      </c>
      <c r="C20" s="81"/>
      <c r="D20" s="81"/>
      <c r="E20" s="119"/>
      <c r="F20" s="81"/>
      <c r="G20" s="81"/>
      <c r="H20" s="91"/>
      <c r="J20" s="103" t="s">
        <v>80</v>
      </c>
      <c r="K20" s="119">
        <v>2000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500</v>
      </c>
      <c r="AA20" s="113"/>
      <c r="AB20" s="91"/>
      <c r="AC20" s="103" t="s">
        <v>80</v>
      </c>
      <c r="AD20" s="81"/>
      <c r="AE20" s="71"/>
      <c r="AF20" s="71"/>
      <c r="AG20" s="81">
        <v>600</v>
      </c>
      <c r="AH20" s="71"/>
      <c r="AI20" s="71"/>
      <c r="AJ20" s="81"/>
      <c r="AK20" s="71"/>
      <c r="AL20" s="71"/>
      <c r="AM20" s="81"/>
      <c r="AN20" s="71"/>
      <c r="AO20" s="71"/>
      <c r="AP20" s="111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1400</v>
      </c>
      <c r="C21" s="71"/>
      <c r="D21" s="71"/>
      <c r="E21" s="120"/>
      <c r="F21" s="71"/>
      <c r="G21" s="71"/>
      <c r="H21" s="102"/>
      <c r="J21" s="105" t="s">
        <v>56</v>
      </c>
      <c r="K21" s="120">
        <v>2000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250</v>
      </c>
      <c r="AA21" s="101"/>
      <c r="AB21" s="102"/>
      <c r="AC21" s="105" t="s">
        <v>56</v>
      </c>
      <c r="AD21" s="123"/>
      <c r="AE21" s="123"/>
      <c r="AF21" s="123"/>
      <c r="AG21" s="123">
        <v>600</v>
      </c>
      <c r="AH21" s="123"/>
      <c r="AI21" s="123"/>
      <c r="AJ21" s="123"/>
      <c r="AK21" s="123"/>
      <c r="AL21" s="123"/>
      <c r="AM21" s="123"/>
      <c r="AN21" s="123"/>
      <c r="AO21" s="123"/>
      <c r="AP21" s="104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1400</v>
      </c>
      <c r="C22" s="81"/>
      <c r="D22" s="81"/>
      <c r="E22" s="119"/>
      <c r="F22" s="81"/>
      <c r="G22" s="81"/>
      <c r="H22" s="91"/>
      <c r="J22" s="105" t="s">
        <v>1</v>
      </c>
      <c r="K22" s="119">
        <v>2000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/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600</v>
      </c>
      <c r="AH22" s="125"/>
      <c r="AI22" s="125"/>
      <c r="AJ22" s="125"/>
      <c r="AK22" s="125"/>
      <c r="AL22" s="125"/>
      <c r="AM22" s="125"/>
      <c r="AN22" s="125"/>
      <c r="AO22" s="125"/>
      <c r="AP22" s="111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 t="s">
        <v>127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1000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0" t="s">
        <v>139</v>
      </c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 t="s">
        <v>129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1000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19" t="s">
        <v>139</v>
      </c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400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/>
      <c r="U26" s="113"/>
      <c r="V26" s="90"/>
      <c r="W26" s="111">
        <v>800</v>
      </c>
      <c r="X26" s="113"/>
      <c r="Y26" s="90"/>
      <c r="Z26" s="119" t="s">
        <v>143</v>
      </c>
      <c r="AA26" s="90"/>
      <c r="AB26" s="91"/>
      <c r="AC26" s="103" t="s">
        <v>73</v>
      </c>
      <c r="AD26" s="125">
        <v>400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300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 t="s">
        <v>122</v>
      </c>
      <c r="C27" s="71"/>
      <c r="D27" s="71"/>
      <c r="E27" s="120"/>
      <c r="F27" s="71"/>
      <c r="G27" s="71"/>
      <c r="H27" s="102"/>
      <c r="J27" s="105" t="s">
        <v>9</v>
      </c>
      <c r="K27" s="120" t="s">
        <v>131</v>
      </c>
      <c r="L27" s="71"/>
      <c r="M27" s="71"/>
      <c r="N27" s="71" t="s">
        <v>9</v>
      </c>
      <c r="O27" s="71">
        <v>600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500</v>
      </c>
      <c r="AA27" s="101"/>
      <c r="AB27" s="102"/>
      <c r="AC27" s="71" t="s">
        <v>9</v>
      </c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500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 t="s">
        <v>123</v>
      </c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500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 t="s">
        <v>123</v>
      </c>
      <c r="C30" s="81"/>
      <c r="D30" s="81"/>
      <c r="E30" s="71" t="s">
        <v>89</v>
      </c>
      <c r="F30" s="173">
        <v>400</v>
      </c>
      <c r="G30" s="81"/>
      <c r="H30" s="91"/>
      <c r="J30" s="105" t="s">
        <v>53</v>
      </c>
      <c r="K30" s="119" t="s">
        <v>134</v>
      </c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1400</v>
      </c>
      <c r="C31" s="71"/>
      <c r="D31" s="71"/>
      <c r="E31" s="71"/>
      <c r="F31" s="71"/>
      <c r="G31" s="71"/>
      <c r="H31" s="102"/>
      <c r="J31" s="105" t="s">
        <v>18</v>
      </c>
      <c r="K31" s="120"/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/>
      <c r="AH31" s="123"/>
      <c r="AI31" s="123"/>
      <c r="AJ31" s="123"/>
      <c r="AK31" s="123"/>
      <c r="AL31" s="123"/>
      <c r="AM31" s="160"/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 t="s">
        <v>125</v>
      </c>
      <c r="C32" s="81"/>
      <c r="D32" s="81"/>
      <c r="E32" s="81"/>
      <c r="F32" s="81"/>
      <c r="G32" s="81"/>
      <c r="H32" s="91"/>
      <c r="J32" s="105" t="s">
        <v>19</v>
      </c>
      <c r="K32" s="119" t="s">
        <v>134</v>
      </c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600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105" t="s">
        <v>49</v>
      </c>
      <c r="K33" s="120">
        <v>500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 t="s">
        <v>142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 t="s">
        <v>131</v>
      </c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200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200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400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/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400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200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>
        <v>200</v>
      </c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/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/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1200</v>
      </c>
      <c r="X47" s="99"/>
      <c r="Y47" s="99"/>
      <c r="Z47" s="104">
        <v>250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800</v>
      </c>
      <c r="X48" s="90"/>
      <c r="Y48" s="90"/>
      <c r="Z48" s="159"/>
      <c r="AA48" s="124"/>
      <c r="AB48" s="126"/>
      <c r="AC48" s="121" t="s">
        <v>42</v>
      </c>
      <c r="AD48" s="81">
        <v>400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>
        <v>6</v>
      </c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>
        <v>6</v>
      </c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/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24</v>
      </c>
      <c r="T51" s="165">
        <v>10</v>
      </c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133</v>
      </c>
      <c r="T52" s="169">
        <v>10</v>
      </c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27</v>
      </c>
      <c r="T53" s="170">
        <v>20</v>
      </c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 t="s">
        <v>138</v>
      </c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60</v>
      </c>
      <c r="T54" s="171">
        <v>6</v>
      </c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119</v>
      </c>
      <c r="B2" s="141"/>
      <c r="C2" s="5"/>
      <c r="D2" s="6"/>
      <c r="E2" s="7"/>
      <c r="F2" s="6"/>
      <c r="G2" s="8"/>
      <c r="H2" s="146" t="str">
        <f>A2</f>
        <v>Ngày 1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 t="s">
        <v>144</v>
      </c>
      <c r="I9" s="181">
        <v>10000</v>
      </c>
      <c r="J9" s="154"/>
      <c r="K9" s="27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 t="s">
        <v>145</v>
      </c>
      <c r="I10" s="185">
        <v>10000</v>
      </c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 t="s">
        <v>146</v>
      </c>
      <c r="I11" s="181">
        <v>10000</v>
      </c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 t="s">
        <v>147</v>
      </c>
      <c r="I12" s="185">
        <v>10000</v>
      </c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 t="s">
        <v>148</v>
      </c>
      <c r="I13" s="181">
        <v>200</v>
      </c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180"/>
      <c r="I14" s="186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84"/>
      <c r="I15" s="187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84"/>
      <c r="I16" s="187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180"/>
      <c r="I17" s="186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180"/>
      <c r="I18" s="186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84"/>
      <c r="I19" s="187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180"/>
      <c r="I20" s="186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84"/>
      <c r="I21" s="187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84"/>
      <c r="I22" s="187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180"/>
      <c r="I23" s="186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84"/>
      <c r="I24" s="187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180"/>
      <c r="I25" s="186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84"/>
      <c r="I26" s="187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32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32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17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32"/>
      <c r="J30" s="30"/>
      <c r="K30" s="38"/>
      <c r="L30" s="43"/>
    </row>
    <row r="31" spans="1:12">
      <c r="H31" s="50"/>
      <c r="I31" s="179"/>
      <c r="J31" s="37"/>
      <c r="K31" s="30"/>
      <c r="L31" s="46"/>
    </row>
    <row r="32" spans="1:12">
      <c r="H32" s="49"/>
      <c r="I32" s="32"/>
      <c r="J32" s="32"/>
      <c r="K32" s="30"/>
      <c r="L32" s="46"/>
    </row>
    <row r="33" spans="8:12">
      <c r="H33" s="50"/>
      <c r="I33" s="179"/>
      <c r="J33" s="37"/>
      <c r="K33" s="38"/>
      <c r="L33" s="43"/>
    </row>
    <row r="34" spans="8:12">
      <c r="H34" s="166"/>
      <c r="I34" s="32"/>
      <c r="J34" s="32"/>
      <c r="K34" s="30"/>
      <c r="L34" s="46"/>
    </row>
    <row r="35" spans="8:12">
      <c r="H35" s="50"/>
      <c r="I35" s="179"/>
      <c r="J35" s="37"/>
      <c r="K35" s="38"/>
      <c r="L35" s="43"/>
    </row>
    <row r="36" spans="8:12">
      <c r="H36" s="49"/>
      <c r="I36" s="32"/>
      <c r="J36" s="32"/>
      <c r="K36" s="30"/>
      <c r="L36" s="46"/>
    </row>
    <row r="37" spans="8:12">
      <c r="H37" s="50"/>
      <c r="I37" s="179"/>
      <c r="J37" s="37"/>
      <c r="K37" s="38"/>
      <c r="L37" s="43"/>
    </row>
    <row r="38" spans="8:12">
      <c r="H38" s="49"/>
      <c r="I38" s="32"/>
      <c r="J38" s="30"/>
      <c r="K38" s="30"/>
      <c r="L38" s="46"/>
    </row>
    <row r="39" spans="8:12">
      <c r="H39" s="50"/>
      <c r="I39" s="179"/>
      <c r="J39" s="37"/>
      <c r="K39" s="38"/>
      <c r="L39" s="43"/>
    </row>
    <row r="40" spans="8:12">
      <c r="H40" s="49"/>
      <c r="I40" s="32"/>
      <c r="J40" s="30"/>
      <c r="K40" s="30"/>
      <c r="L40" s="46"/>
    </row>
    <row r="41" spans="8:12">
      <c r="H41" s="50"/>
      <c r="I41" s="179"/>
      <c r="J41" s="37"/>
      <c r="K41" s="38"/>
      <c r="L41" s="43"/>
    </row>
    <row r="42" spans="8:12">
      <c r="H42" s="49"/>
      <c r="I42" s="32"/>
      <c r="J42" s="32"/>
      <c r="K42" s="30"/>
      <c r="L42" s="46"/>
    </row>
    <row r="43" spans="8:12">
      <c r="H43" s="166"/>
      <c r="I43" s="32"/>
      <c r="J43" s="32"/>
      <c r="K43" s="38"/>
      <c r="L43" s="43"/>
    </row>
    <row r="44" spans="8:12">
      <c r="H44" s="50"/>
      <c r="I44" s="179"/>
      <c r="J44" s="37"/>
      <c r="K44" s="30"/>
      <c r="L44" s="46"/>
    </row>
    <row r="45" spans="8:12">
      <c r="H45" s="49"/>
      <c r="I45" s="32"/>
      <c r="J45" s="32"/>
      <c r="K45" s="38"/>
      <c r="L45" s="43"/>
    </row>
    <row r="46" spans="8:12">
      <c r="H46" s="50"/>
      <c r="I46" s="179"/>
      <c r="J46" s="37"/>
      <c r="K46" s="30"/>
      <c r="L46" s="46"/>
    </row>
    <row r="47" spans="8:12">
      <c r="H47" s="50"/>
      <c r="I47" s="188"/>
      <c r="J47" s="38"/>
      <c r="K47" s="38"/>
      <c r="L47" s="43"/>
    </row>
    <row r="48" spans="8:12">
      <c r="H48" s="50"/>
      <c r="I48" s="188"/>
      <c r="J48" s="38"/>
      <c r="K48" s="38"/>
      <c r="L48" s="43"/>
    </row>
    <row r="49" spans="8:12">
      <c r="H49" s="50"/>
      <c r="I49" s="17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U132"/>
  <sheetViews>
    <sheetView topLeftCell="S1" zoomScale="77" zoomScaleNormal="77" workbookViewId="0">
      <pane ySplit="5" topLeftCell="A15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149</v>
      </c>
      <c r="B2" s="57"/>
      <c r="C2" s="58"/>
      <c r="D2" s="59"/>
      <c r="E2" s="59"/>
      <c r="F2" s="59"/>
      <c r="G2" s="59"/>
      <c r="H2" s="60"/>
      <c r="J2" s="56" t="str">
        <f>A2</f>
        <v>Ngày 2 tháng 8 năm 2016</v>
      </c>
      <c r="K2" s="57"/>
      <c r="L2" s="58"/>
      <c r="M2" s="59"/>
      <c r="N2" s="59"/>
      <c r="O2" s="59"/>
      <c r="P2" s="59"/>
      <c r="Q2" s="60"/>
      <c r="S2" s="56" t="str">
        <f>A2</f>
        <v>Ngày 2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2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199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900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1800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300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900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900</v>
      </c>
      <c r="X9" s="109"/>
      <c r="Y9" s="107"/>
      <c r="Z9" s="108">
        <v>250</v>
      </c>
      <c r="AA9" s="109"/>
      <c r="AB9" s="110"/>
      <c r="AC9" s="103" t="s">
        <v>44</v>
      </c>
      <c r="AD9" s="71"/>
      <c r="AE9" s="71"/>
      <c r="AF9" s="71"/>
      <c r="AG9" s="71">
        <v>300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/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/>
      <c r="AA10" s="90"/>
      <c r="AB10" s="91"/>
      <c r="AC10" s="103" t="s">
        <v>40</v>
      </c>
      <c r="AD10" s="81">
        <v>400</v>
      </c>
      <c r="AE10" s="71"/>
      <c r="AF10" s="71"/>
      <c r="AG10" s="111"/>
      <c r="AH10" s="71"/>
      <c r="AI10" s="71"/>
      <c r="AJ10" s="81"/>
      <c r="AK10" s="71"/>
      <c r="AL10" s="71"/>
      <c r="AM10" s="81">
        <v>300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1800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>
        <v>600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2200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2200</v>
      </c>
      <c r="X12" s="113"/>
      <c r="Y12" s="90"/>
      <c r="Z12" s="111"/>
      <c r="AA12" s="113"/>
      <c r="AB12" s="91"/>
      <c r="AC12" s="105" t="s">
        <v>112</v>
      </c>
      <c r="AD12" s="81"/>
      <c r="AE12" s="71"/>
      <c r="AF12" s="71"/>
      <c r="AG12" s="81"/>
      <c r="AH12" s="71"/>
      <c r="AI12" s="71"/>
      <c r="AJ12" s="81"/>
      <c r="AK12" s="71"/>
      <c r="AL12" s="71"/>
      <c r="AM12" s="81">
        <v>600</v>
      </c>
      <c r="AN12" s="71"/>
      <c r="AO12" s="71"/>
      <c r="AP12" s="81"/>
      <c r="AQ12" s="71"/>
      <c r="AR12" s="71"/>
      <c r="AS12" s="81">
        <v>600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900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1100</v>
      </c>
      <c r="X13" s="101"/>
      <c r="Y13" s="99"/>
      <c r="Z13" s="104">
        <v>650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900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1100</v>
      </c>
      <c r="X14" s="113"/>
      <c r="Y14" s="90"/>
      <c r="Z14" s="104">
        <v>650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900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1100</v>
      </c>
      <c r="X15" s="99"/>
      <c r="Y15" s="99"/>
      <c r="Z15" s="104">
        <v>650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900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1100</v>
      </c>
      <c r="X16" s="90"/>
      <c r="Y16" s="90"/>
      <c r="Z16" s="104">
        <v>650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900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800</v>
      </c>
      <c r="X17" s="101"/>
      <c r="Y17" s="99"/>
      <c r="Z17" s="104">
        <v>650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300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900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400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15700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15700</v>
      </c>
      <c r="X19" s="99"/>
      <c r="Y19" s="99"/>
      <c r="Z19" s="104">
        <v>9950</v>
      </c>
      <c r="AA19" s="99"/>
      <c r="AB19" s="102"/>
      <c r="AC19" s="121" t="s">
        <v>113</v>
      </c>
      <c r="AD19" s="71"/>
      <c r="AE19" s="71"/>
      <c r="AF19" s="71"/>
      <c r="AG19" s="71">
        <v>2100</v>
      </c>
      <c r="AH19" s="71"/>
      <c r="AI19" s="71"/>
      <c r="AJ19" s="71"/>
      <c r="AK19" s="71"/>
      <c r="AL19" s="71"/>
      <c r="AM19" s="71"/>
      <c r="AN19" s="71"/>
      <c r="AO19" s="71"/>
      <c r="AP19" s="203">
        <v>3600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1800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500</v>
      </c>
      <c r="AA20" s="113"/>
      <c r="AB20" s="91"/>
      <c r="AC20" s="103" t="s">
        <v>80</v>
      </c>
      <c r="AD20" s="81"/>
      <c r="AE20" s="71"/>
      <c r="AF20" s="71"/>
      <c r="AG20" s="81">
        <v>600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1800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250</v>
      </c>
      <c r="AA21" s="101"/>
      <c r="AB21" s="102"/>
      <c r="AC21" s="105" t="s">
        <v>56</v>
      </c>
      <c r="AD21" s="123"/>
      <c r="AE21" s="123"/>
      <c r="AF21" s="123"/>
      <c r="AG21" s="123">
        <v>600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1800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600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1100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>
        <v>100</v>
      </c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1100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>
        <v>100</v>
      </c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400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1800</v>
      </c>
      <c r="U26" s="113"/>
      <c r="V26" s="90"/>
      <c r="W26" s="111"/>
      <c r="X26" s="113"/>
      <c r="Y26" s="90"/>
      <c r="Z26" s="119" t="s">
        <v>151</v>
      </c>
      <c r="AA26" s="90"/>
      <c r="AB26" s="91"/>
      <c r="AC26" s="103" t="s">
        <v>73</v>
      </c>
      <c r="AD26" s="125">
        <v>400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300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100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500</v>
      </c>
      <c r="AA27" s="101"/>
      <c r="AB27" s="102"/>
      <c r="AC27" s="71" t="s">
        <v>9</v>
      </c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500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500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>
        <v>200</v>
      </c>
      <c r="C30" s="81"/>
      <c r="D30" s="81"/>
      <c r="E30" s="71" t="s">
        <v>89</v>
      </c>
      <c r="F30" s="173">
        <v>300</v>
      </c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105" t="s">
        <v>18</v>
      </c>
      <c r="K31" s="120"/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/>
      <c r="AH31" s="123"/>
      <c r="AI31" s="123"/>
      <c r="AJ31" s="123"/>
      <c r="AK31" s="123"/>
      <c r="AL31" s="123"/>
      <c r="AM31" s="160"/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600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400</v>
      </c>
      <c r="C33" s="71"/>
      <c r="D33" s="71"/>
      <c r="E33" s="71"/>
      <c r="F33" s="71"/>
      <c r="G33" s="71"/>
      <c r="H33" s="102"/>
      <c r="J33" s="105" t="s">
        <v>49</v>
      </c>
      <c r="K33" s="120">
        <v>450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 t="s">
        <v>150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300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300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600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/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600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300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>
        <v>300</v>
      </c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800</v>
      </c>
      <c r="X47" s="99"/>
      <c r="Y47" s="99"/>
      <c r="Z47" s="104">
        <v>250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400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/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/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/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24</v>
      </c>
      <c r="T51" s="165"/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133</v>
      </c>
      <c r="T52" s="169"/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27</v>
      </c>
      <c r="T53" s="170"/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60</v>
      </c>
      <c r="T54" s="171"/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149</v>
      </c>
      <c r="B2" s="141"/>
      <c r="C2" s="5"/>
      <c r="D2" s="6"/>
      <c r="E2" s="7"/>
      <c r="F2" s="6"/>
      <c r="G2" s="8"/>
      <c r="H2" s="146" t="str">
        <f>A2</f>
        <v>Ngày 2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/>
      <c r="I9" s="181"/>
      <c r="J9" s="154"/>
      <c r="K9" s="27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/>
      <c r="I10" s="185"/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/>
      <c r="I11" s="181"/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/>
      <c r="I12" s="185"/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/>
      <c r="I13" s="181"/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180"/>
      <c r="I14" s="186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84"/>
      <c r="I15" s="187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84"/>
      <c r="I16" s="187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180"/>
      <c r="I17" s="186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180"/>
      <c r="I18" s="186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84"/>
      <c r="I19" s="187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180"/>
      <c r="I20" s="186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84"/>
      <c r="I21" s="187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84"/>
      <c r="I22" s="187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180"/>
      <c r="I23" s="186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84"/>
      <c r="I24" s="187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180"/>
      <c r="I25" s="186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84"/>
      <c r="I26" s="187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32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32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17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32"/>
      <c r="J30" s="30"/>
      <c r="K30" s="38"/>
      <c r="L30" s="43"/>
    </row>
    <row r="31" spans="1:12">
      <c r="H31" s="50"/>
      <c r="I31" s="179"/>
      <c r="J31" s="37"/>
      <c r="K31" s="30"/>
      <c r="L31" s="46"/>
    </row>
    <row r="32" spans="1:12">
      <c r="H32" s="49"/>
      <c r="I32" s="32"/>
      <c r="J32" s="32"/>
      <c r="K32" s="30"/>
      <c r="L32" s="46"/>
    </row>
    <row r="33" spans="8:12">
      <c r="H33" s="50"/>
      <c r="I33" s="179"/>
      <c r="J33" s="37"/>
      <c r="K33" s="38"/>
      <c r="L33" s="43"/>
    </row>
    <row r="34" spans="8:12">
      <c r="H34" s="166"/>
      <c r="I34" s="32"/>
      <c r="J34" s="32"/>
      <c r="K34" s="30"/>
      <c r="L34" s="46"/>
    </row>
    <row r="35" spans="8:12">
      <c r="H35" s="50"/>
      <c r="I35" s="179"/>
      <c r="J35" s="37"/>
      <c r="K35" s="38"/>
      <c r="L35" s="43"/>
    </row>
    <row r="36" spans="8:12">
      <c r="H36" s="49"/>
      <c r="I36" s="32"/>
      <c r="J36" s="32"/>
      <c r="K36" s="30"/>
      <c r="L36" s="46"/>
    </row>
    <row r="37" spans="8:12">
      <c r="H37" s="50"/>
      <c r="I37" s="179"/>
      <c r="J37" s="37"/>
      <c r="K37" s="38"/>
      <c r="L37" s="43"/>
    </row>
    <row r="38" spans="8:12">
      <c r="H38" s="49"/>
      <c r="I38" s="32"/>
      <c r="J38" s="30"/>
      <c r="K38" s="30"/>
      <c r="L38" s="46"/>
    </row>
    <row r="39" spans="8:12">
      <c r="H39" s="50"/>
      <c r="I39" s="179"/>
      <c r="J39" s="37"/>
      <c r="K39" s="38"/>
      <c r="L39" s="43"/>
    </row>
    <row r="40" spans="8:12">
      <c r="H40" s="49"/>
      <c r="I40" s="32"/>
      <c r="J40" s="30"/>
      <c r="K40" s="30"/>
      <c r="L40" s="46"/>
    </row>
    <row r="41" spans="8:12">
      <c r="H41" s="50"/>
      <c r="I41" s="179"/>
      <c r="J41" s="37"/>
      <c r="K41" s="38"/>
      <c r="L41" s="43"/>
    </row>
    <row r="42" spans="8:12">
      <c r="H42" s="49"/>
      <c r="I42" s="32"/>
      <c r="J42" s="32"/>
      <c r="K42" s="30"/>
      <c r="L42" s="46"/>
    </row>
    <row r="43" spans="8:12">
      <c r="H43" s="166"/>
      <c r="I43" s="32"/>
      <c r="J43" s="32"/>
      <c r="K43" s="38"/>
      <c r="L43" s="43"/>
    </row>
    <row r="44" spans="8:12">
      <c r="H44" s="50"/>
      <c r="I44" s="179"/>
      <c r="J44" s="37"/>
      <c r="K44" s="30"/>
      <c r="L44" s="46"/>
    </row>
    <row r="45" spans="8:12">
      <c r="H45" s="49"/>
      <c r="I45" s="32"/>
      <c r="J45" s="32"/>
      <c r="K45" s="38"/>
      <c r="L45" s="43"/>
    </row>
    <row r="46" spans="8:12">
      <c r="H46" s="50"/>
      <c r="I46" s="179"/>
      <c r="J46" s="37"/>
      <c r="K46" s="30"/>
      <c r="L46" s="46"/>
    </row>
    <row r="47" spans="8:12">
      <c r="H47" s="50"/>
      <c r="I47" s="188"/>
      <c r="J47" s="38"/>
      <c r="K47" s="38"/>
      <c r="L47" s="43"/>
    </row>
    <row r="48" spans="8:12">
      <c r="H48" s="50"/>
      <c r="I48" s="188"/>
      <c r="J48" s="38"/>
      <c r="K48" s="38"/>
      <c r="L48" s="43"/>
    </row>
    <row r="49" spans="8:12">
      <c r="H49" s="50"/>
      <c r="I49" s="17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U132"/>
  <sheetViews>
    <sheetView topLeftCell="O1"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152</v>
      </c>
      <c r="B2" s="57"/>
      <c r="C2" s="58"/>
      <c r="D2" s="59"/>
      <c r="E2" s="59"/>
      <c r="F2" s="59"/>
      <c r="G2" s="59"/>
      <c r="H2" s="60"/>
      <c r="J2" s="56" t="str">
        <f>A2</f>
        <v>Ngày 3 tháng 8 năm 2016</v>
      </c>
      <c r="K2" s="57"/>
      <c r="L2" s="58"/>
      <c r="M2" s="59"/>
      <c r="N2" s="59"/>
      <c r="O2" s="59"/>
      <c r="P2" s="59"/>
      <c r="Q2" s="60"/>
      <c r="S2" s="56" t="str">
        <f>A2</f>
        <v>Ngày 3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3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01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900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2150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300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900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900</v>
      </c>
      <c r="X9" s="109"/>
      <c r="Y9" s="107"/>
      <c r="Z9" s="108">
        <v>222</v>
      </c>
      <c r="AA9" s="109"/>
      <c r="AB9" s="110"/>
      <c r="AC9" s="103" t="s">
        <v>44</v>
      </c>
      <c r="AD9" s="71"/>
      <c r="AE9" s="71"/>
      <c r="AF9" s="71"/>
      <c r="AG9" s="71">
        <v>300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>
        <v>540</v>
      </c>
      <c r="AA10" s="90"/>
      <c r="AB10" s="91"/>
      <c r="AC10" s="103" t="s">
        <v>40</v>
      </c>
      <c r="AD10" s="81">
        <v>400</v>
      </c>
      <c r="AE10" s="71"/>
      <c r="AF10" s="71"/>
      <c r="AG10" s="111"/>
      <c r="AH10" s="71"/>
      <c r="AI10" s="71"/>
      <c r="AJ10" s="81"/>
      <c r="AK10" s="71"/>
      <c r="AL10" s="71"/>
      <c r="AM10" s="81">
        <v>300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1800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>
        <v>600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2000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2200</v>
      </c>
      <c r="X12" s="113"/>
      <c r="Y12" s="90"/>
      <c r="Z12" s="111">
        <v>56</v>
      </c>
      <c r="AA12" s="113"/>
      <c r="AB12" s="91"/>
      <c r="AC12" s="105" t="s">
        <v>112</v>
      </c>
      <c r="AD12" s="81"/>
      <c r="AE12" s="71"/>
      <c r="AF12" s="71"/>
      <c r="AG12" s="81"/>
      <c r="AH12" s="71"/>
      <c r="AI12" s="71"/>
      <c r="AJ12" s="81"/>
      <c r="AK12" s="71"/>
      <c r="AL12" s="71"/>
      <c r="AM12" s="81">
        <v>600</v>
      </c>
      <c r="AN12" s="71"/>
      <c r="AO12" s="71"/>
      <c r="AP12" s="81"/>
      <c r="AQ12" s="71"/>
      <c r="AR12" s="71"/>
      <c r="AS12" s="81">
        <v>400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900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1100</v>
      </c>
      <c r="X13" s="101"/>
      <c r="Y13" s="99"/>
      <c r="Z13" s="104">
        <v>622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900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1100</v>
      </c>
      <c r="X14" s="113"/>
      <c r="Y14" s="90"/>
      <c r="Z14" s="104">
        <v>622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900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1100</v>
      </c>
      <c r="X15" s="99"/>
      <c r="Y15" s="99"/>
      <c r="Z15" s="104">
        <v>622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900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1100</v>
      </c>
      <c r="X16" s="90"/>
      <c r="Y16" s="90"/>
      <c r="Z16" s="104">
        <v>622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900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800</v>
      </c>
      <c r="X17" s="101"/>
      <c r="Y17" s="99"/>
      <c r="Z17" s="104">
        <v>622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300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1000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400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15500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15700</v>
      </c>
      <c r="X19" s="99"/>
      <c r="Y19" s="99"/>
      <c r="Z19" s="104">
        <v>10034</v>
      </c>
      <c r="AA19" s="99"/>
      <c r="AB19" s="102"/>
      <c r="AC19" s="121" t="s">
        <v>113</v>
      </c>
      <c r="AD19" s="71"/>
      <c r="AE19" s="71"/>
      <c r="AF19" s="71"/>
      <c r="AG19" s="71">
        <v>2100</v>
      </c>
      <c r="AH19" s="71"/>
      <c r="AI19" s="71"/>
      <c r="AJ19" s="71"/>
      <c r="AK19" s="71"/>
      <c r="AL19" s="71"/>
      <c r="AM19" s="71"/>
      <c r="AN19" s="71"/>
      <c r="AO19" s="71"/>
      <c r="AP19" s="203">
        <v>3600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1800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444</v>
      </c>
      <c r="AA20" s="113"/>
      <c r="AB20" s="91"/>
      <c r="AC20" s="103" t="s">
        <v>80</v>
      </c>
      <c r="AD20" s="81"/>
      <c r="AE20" s="71"/>
      <c r="AF20" s="71"/>
      <c r="AG20" s="81">
        <v>600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1800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222</v>
      </c>
      <c r="AA21" s="101"/>
      <c r="AB21" s="102"/>
      <c r="AC21" s="105" t="s">
        <v>56</v>
      </c>
      <c r="AD21" s="123"/>
      <c r="AE21" s="123"/>
      <c r="AF21" s="123"/>
      <c r="AG21" s="123">
        <v>600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1800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600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1000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>
        <v>100</v>
      </c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1000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>
        <v>100</v>
      </c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400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2150</v>
      </c>
      <c r="U26" s="113"/>
      <c r="V26" s="90"/>
      <c r="W26" s="111"/>
      <c r="X26" s="113"/>
      <c r="Y26" s="90"/>
      <c r="Z26" s="119" t="s">
        <v>151</v>
      </c>
      <c r="AA26" s="90"/>
      <c r="AB26" s="91"/>
      <c r="AC26" s="103" t="s">
        <v>73</v>
      </c>
      <c r="AD26" s="125">
        <v>400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300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200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444</v>
      </c>
      <c r="AA27" s="101"/>
      <c r="AB27" s="102"/>
      <c r="AC27" s="71" t="s">
        <v>9</v>
      </c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444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444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>
        <v>300</v>
      </c>
      <c r="C30" s="81"/>
      <c r="D30" s="81"/>
      <c r="E30" s="71" t="s">
        <v>89</v>
      </c>
      <c r="F30" s="173"/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105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/>
      <c r="AH31" s="123"/>
      <c r="AI31" s="123"/>
      <c r="AJ31" s="123"/>
      <c r="AK31" s="123"/>
      <c r="AL31" s="123"/>
      <c r="AM31" s="160"/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600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105" t="s">
        <v>49</v>
      </c>
      <c r="K33" s="120">
        <v>450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 t="s">
        <v>150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200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200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400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200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200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>
        <v>180</v>
      </c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200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200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/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800</v>
      </c>
      <c r="X47" s="99"/>
      <c r="Y47" s="99"/>
      <c r="Z47" s="104">
        <v>222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400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/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/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/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24</v>
      </c>
      <c r="T51" s="165"/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133</v>
      </c>
      <c r="T52" s="169"/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27</v>
      </c>
      <c r="T53" s="170"/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60</v>
      </c>
      <c r="T54" s="171"/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152</v>
      </c>
      <c r="B2" s="141"/>
      <c r="C2" s="5"/>
      <c r="D2" s="6"/>
      <c r="E2" s="7"/>
      <c r="F2" s="6"/>
      <c r="G2" s="8"/>
      <c r="H2" s="146" t="str">
        <f>A2</f>
        <v>Ngày 3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 t="s">
        <v>153</v>
      </c>
      <c r="C9" s="25"/>
      <c r="D9" s="25"/>
      <c r="E9" s="24"/>
      <c r="F9" s="25"/>
      <c r="G9" s="25"/>
      <c r="H9" s="200"/>
      <c r="I9" s="181"/>
      <c r="J9" s="154"/>
      <c r="K9" s="27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/>
      <c r="I10" s="185"/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/>
      <c r="I11" s="181"/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/>
      <c r="I12" s="185"/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/>
      <c r="I13" s="181"/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180"/>
      <c r="I14" s="186"/>
      <c r="J14" s="32"/>
      <c r="K14" s="45"/>
      <c r="L14" s="46"/>
    </row>
    <row r="15" spans="1:12" s="44" customFormat="1">
      <c r="A15" s="41" t="s">
        <v>59</v>
      </c>
      <c r="B15" s="175" t="s">
        <v>154</v>
      </c>
      <c r="C15" s="25"/>
      <c r="D15" s="37"/>
      <c r="E15" s="37"/>
      <c r="F15" s="37"/>
      <c r="G15" s="37"/>
      <c r="H15" s="184"/>
      <c r="I15" s="187"/>
      <c r="J15" s="37"/>
      <c r="K15" s="42"/>
      <c r="L15" s="43"/>
    </row>
    <row r="16" spans="1:12" s="35" customFormat="1">
      <c r="A16" s="29" t="s">
        <v>60</v>
      </c>
      <c r="B16" s="175" t="s">
        <v>154</v>
      </c>
      <c r="C16" s="30"/>
      <c r="D16" s="30"/>
      <c r="E16" s="30"/>
      <c r="F16" s="30"/>
      <c r="G16" s="30"/>
      <c r="H16" s="184"/>
      <c r="I16" s="187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180"/>
      <c r="I17" s="186"/>
      <c r="J17" s="37"/>
      <c r="K17" s="42"/>
      <c r="L17" s="43"/>
    </row>
    <row r="18" spans="1:12" s="35" customFormat="1">
      <c r="A18" s="29" t="s">
        <v>73</v>
      </c>
      <c r="B18" s="144" t="s">
        <v>155</v>
      </c>
      <c r="C18" s="30"/>
      <c r="D18" s="30"/>
      <c r="E18" s="30"/>
      <c r="F18" s="30"/>
      <c r="G18" s="30"/>
      <c r="H18" s="180"/>
      <c r="I18" s="186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84"/>
      <c r="I19" s="187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180"/>
      <c r="I20" s="186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84"/>
      <c r="I21" s="187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84"/>
      <c r="I22" s="187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180"/>
      <c r="I23" s="186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84"/>
      <c r="I24" s="187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180"/>
      <c r="I25" s="186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84"/>
      <c r="I26" s="187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32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32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17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32"/>
      <c r="J30" s="30"/>
      <c r="K30" s="38"/>
      <c r="L30" s="43"/>
    </row>
    <row r="31" spans="1:12">
      <c r="H31" s="50"/>
      <c r="I31" s="179"/>
      <c r="J31" s="37"/>
      <c r="K31" s="30"/>
      <c r="L31" s="46"/>
    </row>
    <row r="32" spans="1:12">
      <c r="H32" s="49"/>
      <c r="I32" s="32"/>
      <c r="J32" s="32"/>
      <c r="K32" s="30"/>
      <c r="L32" s="46"/>
    </row>
    <row r="33" spans="8:12">
      <c r="H33" s="50"/>
      <c r="I33" s="179"/>
      <c r="J33" s="37"/>
      <c r="K33" s="38"/>
      <c r="L33" s="43"/>
    </row>
    <row r="34" spans="8:12">
      <c r="H34" s="166"/>
      <c r="I34" s="32"/>
      <c r="J34" s="32"/>
      <c r="K34" s="30"/>
      <c r="L34" s="46"/>
    </row>
    <row r="35" spans="8:12">
      <c r="H35" s="50"/>
      <c r="I35" s="179"/>
      <c r="J35" s="37"/>
      <c r="K35" s="38"/>
      <c r="L35" s="43"/>
    </row>
    <row r="36" spans="8:12">
      <c r="H36" s="49"/>
      <c r="I36" s="32"/>
      <c r="J36" s="32"/>
      <c r="K36" s="30"/>
      <c r="L36" s="46"/>
    </row>
    <row r="37" spans="8:12">
      <c r="H37" s="50"/>
      <c r="I37" s="179"/>
      <c r="J37" s="37"/>
      <c r="K37" s="38"/>
      <c r="L37" s="43"/>
    </row>
    <row r="38" spans="8:12">
      <c r="H38" s="49"/>
      <c r="I38" s="32"/>
      <c r="J38" s="30"/>
      <c r="K38" s="30"/>
      <c r="L38" s="46"/>
    </row>
    <row r="39" spans="8:12">
      <c r="H39" s="50"/>
      <c r="I39" s="179"/>
      <c r="J39" s="37"/>
      <c r="K39" s="38"/>
      <c r="L39" s="43"/>
    </row>
    <row r="40" spans="8:12">
      <c r="H40" s="49"/>
      <c r="I40" s="32"/>
      <c r="J40" s="30"/>
      <c r="K40" s="30"/>
      <c r="L40" s="46"/>
    </row>
    <row r="41" spans="8:12">
      <c r="H41" s="50"/>
      <c r="I41" s="179"/>
      <c r="J41" s="37"/>
      <c r="K41" s="38"/>
      <c r="L41" s="43"/>
    </row>
    <row r="42" spans="8:12">
      <c r="H42" s="49"/>
      <c r="I42" s="32"/>
      <c r="J42" s="32"/>
      <c r="K42" s="30"/>
      <c r="L42" s="46"/>
    </row>
    <row r="43" spans="8:12">
      <c r="H43" s="166"/>
      <c r="I43" s="32"/>
      <c r="J43" s="32"/>
      <c r="K43" s="38"/>
      <c r="L43" s="43"/>
    </row>
    <row r="44" spans="8:12">
      <c r="H44" s="50"/>
      <c r="I44" s="179"/>
      <c r="J44" s="37"/>
      <c r="K44" s="30"/>
      <c r="L44" s="46"/>
    </row>
    <row r="45" spans="8:12">
      <c r="H45" s="49"/>
      <c r="I45" s="32"/>
      <c r="J45" s="32"/>
      <c r="K45" s="38"/>
      <c r="L45" s="43"/>
    </row>
    <row r="46" spans="8:12">
      <c r="H46" s="50"/>
      <c r="I46" s="179"/>
      <c r="J46" s="37"/>
      <c r="K46" s="30"/>
      <c r="L46" s="46"/>
    </row>
    <row r="47" spans="8:12">
      <c r="H47" s="50"/>
      <c r="I47" s="188"/>
      <c r="J47" s="38"/>
      <c r="K47" s="38"/>
      <c r="L47" s="43"/>
    </row>
    <row r="48" spans="8:12">
      <c r="H48" s="50"/>
      <c r="I48" s="188"/>
      <c r="J48" s="38"/>
      <c r="K48" s="38"/>
      <c r="L48" s="43"/>
    </row>
    <row r="49" spans="8:12">
      <c r="H49" s="50"/>
      <c r="I49" s="17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U132"/>
  <sheetViews>
    <sheetView topLeftCell="P1"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156</v>
      </c>
      <c r="B2" s="57"/>
      <c r="C2" s="58"/>
      <c r="D2" s="59"/>
      <c r="E2" s="59"/>
      <c r="F2" s="59"/>
      <c r="G2" s="59"/>
      <c r="H2" s="60"/>
      <c r="J2" s="56" t="str">
        <f>A2</f>
        <v>Ngày 4 tháng 8 năm 2016</v>
      </c>
      <c r="K2" s="57"/>
      <c r="L2" s="58"/>
      <c r="M2" s="59"/>
      <c r="N2" s="59"/>
      <c r="O2" s="59"/>
      <c r="P2" s="59"/>
      <c r="Q2" s="60"/>
      <c r="S2" s="56" t="str">
        <f>A2</f>
        <v>Ngày 4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4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04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1000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2150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300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1000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800</v>
      </c>
      <c r="X9" s="109"/>
      <c r="Y9" s="107"/>
      <c r="Z9" s="108">
        <v>142</v>
      </c>
      <c r="AA9" s="109"/>
      <c r="AB9" s="110"/>
      <c r="AC9" s="103" t="s">
        <v>44</v>
      </c>
      <c r="AD9" s="71"/>
      <c r="AE9" s="71"/>
      <c r="AF9" s="71"/>
      <c r="AG9" s="71">
        <v>300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/>
      <c r="AA10" s="90"/>
      <c r="AB10" s="91"/>
      <c r="AC10" s="103" t="s">
        <v>40</v>
      </c>
      <c r="AD10" s="81">
        <v>400</v>
      </c>
      <c r="AE10" s="71"/>
      <c r="AF10" s="71"/>
      <c r="AG10" s="111"/>
      <c r="AH10" s="71"/>
      <c r="AI10" s="71"/>
      <c r="AJ10" s="81"/>
      <c r="AK10" s="71"/>
      <c r="AL10" s="71"/>
      <c r="AM10" s="81">
        <v>400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2000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>
        <v>600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1800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2400</v>
      </c>
      <c r="X12" s="113"/>
      <c r="Y12" s="90"/>
      <c r="Z12" s="111">
        <v>212</v>
      </c>
      <c r="AA12" s="113"/>
      <c r="AB12" s="91"/>
      <c r="AC12" s="105" t="s">
        <v>112</v>
      </c>
      <c r="AD12" s="81"/>
      <c r="AE12" s="71"/>
      <c r="AF12" s="71"/>
      <c r="AG12" s="81"/>
      <c r="AH12" s="71"/>
      <c r="AI12" s="71"/>
      <c r="AJ12" s="81"/>
      <c r="AK12" s="71"/>
      <c r="AL12" s="71"/>
      <c r="AM12" s="81">
        <v>800</v>
      </c>
      <c r="AN12" s="71"/>
      <c r="AO12" s="71"/>
      <c r="AP12" s="81"/>
      <c r="AQ12" s="71"/>
      <c r="AR12" s="71"/>
      <c r="AS12" s="81">
        <v>800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1000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1100</v>
      </c>
      <c r="X13" s="101"/>
      <c r="Y13" s="99"/>
      <c r="Z13" s="104">
        <v>542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1000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1100</v>
      </c>
      <c r="X14" s="113"/>
      <c r="Y14" s="90"/>
      <c r="Z14" s="104">
        <v>542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1000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1100</v>
      </c>
      <c r="X15" s="99"/>
      <c r="Y15" s="99"/>
      <c r="Z15" s="104">
        <v>542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1000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1100</v>
      </c>
      <c r="X16" s="90"/>
      <c r="Y16" s="90"/>
      <c r="Z16" s="104">
        <v>542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1000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800</v>
      </c>
      <c r="X17" s="101"/>
      <c r="Y17" s="99"/>
      <c r="Z17" s="104">
        <v>542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400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1100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400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15600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16500</v>
      </c>
      <c r="X19" s="99"/>
      <c r="Y19" s="99"/>
      <c r="Z19" s="104">
        <v>10262</v>
      </c>
      <c r="AA19" s="99"/>
      <c r="AB19" s="102"/>
      <c r="AC19" s="121" t="s">
        <v>113</v>
      </c>
      <c r="AD19" s="71"/>
      <c r="AE19" s="71"/>
      <c r="AF19" s="71"/>
      <c r="AG19" s="71">
        <v>2100</v>
      </c>
      <c r="AH19" s="71"/>
      <c r="AI19" s="71"/>
      <c r="AJ19" s="71"/>
      <c r="AK19" s="71"/>
      <c r="AL19" s="71"/>
      <c r="AM19" s="71"/>
      <c r="AN19" s="71"/>
      <c r="AO19" s="71"/>
      <c r="AP19" s="203">
        <v>3600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2000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/>
      <c r="X20" s="113"/>
      <c r="Y20" s="90"/>
      <c r="Z20" s="111">
        <v>284</v>
      </c>
      <c r="AA20" s="113"/>
      <c r="AB20" s="91"/>
      <c r="AC20" s="103" t="s">
        <v>80</v>
      </c>
      <c r="AD20" s="81"/>
      <c r="AE20" s="71"/>
      <c r="AF20" s="71"/>
      <c r="AG20" s="81">
        <v>600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2000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/>
      <c r="X21" s="99"/>
      <c r="Y21" s="99"/>
      <c r="Z21" s="104">
        <v>142</v>
      </c>
      <c r="AA21" s="101"/>
      <c r="AB21" s="102"/>
      <c r="AC21" s="105" t="s">
        <v>56</v>
      </c>
      <c r="AD21" s="123"/>
      <c r="AE21" s="123"/>
      <c r="AF21" s="123"/>
      <c r="AG21" s="123">
        <v>600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2000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600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900</v>
      </c>
      <c r="U23" s="101"/>
      <c r="V23" s="99"/>
      <c r="W23" s="104">
        <v>2000</v>
      </c>
      <c r="X23" s="99"/>
      <c r="Y23" s="99"/>
      <c r="Z23" s="104">
        <v>248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/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900</v>
      </c>
      <c r="U24" s="113"/>
      <c r="V24" s="90"/>
      <c r="W24" s="104">
        <v>2000</v>
      </c>
      <c r="X24" s="90"/>
      <c r="Y24" s="90"/>
      <c r="Z24" s="104">
        <v>248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/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400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2150</v>
      </c>
      <c r="U26" s="113"/>
      <c r="V26" s="90"/>
      <c r="W26" s="111">
        <v>200</v>
      </c>
      <c r="X26" s="113"/>
      <c r="Y26" s="90"/>
      <c r="Z26" s="119" t="s">
        <v>159</v>
      </c>
      <c r="AA26" s="90"/>
      <c r="AB26" s="91"/>
      <c r="AC26" s="103" t="s">
        <v>73</v>
      </c>
      <c r="AD26" s="125">
        <v>400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400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200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/>
      <c r="X27" s="99"/>
      <c r="Y27" s="99"/>
      <c r="Z27" s="104">
        <v>284</v>
      </c>
      <c r="AA27" s="101"/>
      <c r="AB27" s="102"/>
      <c r="AC27" s="71" t="s">
        <v>9</v>
      </c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/>
      <c r="X28" s="90"/>
      <c r="Y28" s="90"/>
      <c r="Z28" s="111">
        <v>284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284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/>
      <c r="C30" s="81"/>
      <c r="D30" s="81"/>
      <c r="E30" s="71" t="s">
        <v>89</v>
      </c>
      <c r="F30" s="173">
        <v>300</v>
      </c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/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105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/>
      <c r="AH31" s="123"/>
      <c r="AI31" s="123"/>
      <c r="AJ31" s="123"/>
      <c r="AK31" s="123"/>
      <c r="AL31" s="123"/>
      <c r="AM31" s="160">
        <v>800</v>
      </c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400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105" t="s">
        <v>49</v>
      </c>
      <c r="K33" s="120">
        <v>500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>
        <v>200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400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400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800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400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400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400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400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/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800</v>
      </c>
      <c r="X47" s="99"/>
      <c r="Y47" s="99"/>
      <c r="Z47" s="104">
        <v>142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400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>
        <v>140</v>
      </c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>
        <v>140</v>
      </c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/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24</v>
      </c>
      <c r="T51" s="165"/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157</v>
      </c>
      <c r="T52" s="169">
        <v>90</v>
      </c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158</v>
      </c>
      <c r="T53" s="170">
        <v>90</v>
      </c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116</v>
      </c>
      <c r="T54" s="171">
        <v>10</v>
      </c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53"/>
  <sheetViews>
    <sheetView topLeftCell="A5"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156</v>
      </c>
      <c r="B2" s="141"/>
      <c r="C2" s="5"/>
      <c r="D2" s="6"/>
      <c r="E2" s="7"/>
      <c r="F2" s="6"/>
      <c r="G2" s="8"/>
      <c r="H2" s="146" t="str">
        <f>A2</f>
        <v>Ngày 4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/>
      <c r="I9" s="181"/>
      <c r="J9" s="154"/>
      <c r="K9" s="27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/>
      <c r="I10" s="185"/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/>
      <c r="I11" s="181"/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/>
      <c r="I12" s="185"/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/>
      <c r="I13" s="181"/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180"/>
      <c r="I14" s="186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84"/>
      <c r="I15" s="187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84"/>
      <c r="I16" s="187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180"/>
      <c r="I17" s="186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180"/>
      <c r="I18" s="186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84"/>
      <c r="I19" s="187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180"/>
      <c r="I20" s="186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84"/>
      <c r="I21" s="187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84"/>
      <c r="I22" s="187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180"/>
      <c r="I23" s="186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84"/>
      <c r="I24" s="187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180"/>
      <c r="I25" s="186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84"/>
      <c r="I26" s="187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32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32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17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32"/>
      <c r="J30" s="30"/>
      <c r="K30" s="38"/>
      <c r="L30" s="43"/>
    </row>
    <row r="31" spans="1:12">
      <c r="H31" s="50"/>
      <c r="I31" s="179"/>
      <c r="J31" s="37"/>
      <c r="K31" s="30"/>
      <c r="L31" s="46"/>
    </row>
    <row r="32" spans="1:12">
      <c r="H32" s="49"/>
      <c r="I32" s="32"/>
      <c r="J32" s="32"/>
      <c r="K32" s="30"/>
      <c r="L32" s="46"/>
    </row>
    <row r="33" spans="8:12">
      <c r="H33" s="50"/>
      <c r="I33" s="179"/>
      <c r="J33" s="37"/>
      <c r="K33" s="38"/>
      <c r="L33" s="43"/>
    </row>
    <row r="34" spans="8:12">
      <c r="H34" s="166"/>
      <c r="I34" s="32"/>
      <c r="J34" s="32"/>
      <c r="K34" s="30"/>
      <c r="L34" s="46"/>
    </row>
    <row r="35" spans="8:12">
      <c r="H35" s="50"/>
      <c r="I35" s="179"/>
      <c r="J35" s="37"/>
      <c r="K35" s="38"/>
      <c r="L35" s="43"/>
    </row>
    <row r="36" spans="8:12">
      <c r="H36" s="49"/>
      <c r="I36" s="32"/>
      <c r="J36" s="32"/>
      <c r="K36" s="30"/>
      <c r="L36" s="46"/>
    </row>
    <row r="37" spans="8:12">
      <c r="H37" s="50"/>
      <c r="I37" s="179"/>
      <c r="J37" s="37"/>
      <c r="K37" s="38"/>
      <c r="L37" s="43"/>
    </row>
    <row r="38" spans="8:12">
      <c r="H38" s="49"/>
      <c r="I38" s="32"/>
      <c r="J38" s="30"/>
      <c r="K38" s="30"/>
      <c r="L38" s="46"/>
    </row>
    <row r="39" spans="8:12">
      <c r="H39" s="50"/>
      <c r="I39" s="179"/>
      <c r="J39" s="37"/>
      <c r="K39" s="38"/>
      <c r="L39" s="43"/>
    </row>
    <row r="40" spans="8:12">
      <c r="H40" s="49"/>
      <c r="I40" s="32"/>
      <c r="J40" s="30"/>
      <c r="K40" s="30"/>
      <c r="L40" s="46"/>
    </row>
    <row r="41" spans="8:12">
      <c r="H41" s="50"/>
      <c r="I41" s="179"/>
      <c r="J41" s="37"/>
      <c r="K41" s="38"/>
      <c r="L41" s="43"/>
    </row>
    <row r="42" spans="8:12">
      <c r="H42" s="49"/>
      <c r="I42" s="32"/>
      <c r="J42" s="32"/>
      <c r="K42" s="30"/>
      <c r="L42" s="46"/>
    </row>
    <row r="43" spans="8:12">
      <c r="H43" s="166"/>
      <c r="I43" s="32"/>
      <c r="J43" s="32"/>
      <c r="K43" s="38"/>
      <c r="L43" s="43"/>
    </row>
    <row r="44" spans="8:12">
      <c r="H44" s="50"/>
      <c r="I44" s="179"/>
      <c r="J44" s="37"/>
      <c r="K44" s="30"/>
      <c r="L44" s="46"/>
    </row>
    <row r="45" spans="8:12">
      <c r="H45" s="49"/>
      <c r="I45" s="32"/>
      <c r="J45" s="32"/>
      <c r="K45" s="38"/>
      <c r="L45" s="43"/>
    </row>
    <row r="46" spans="8:12">
      <c r="H46" s="50"/>
      <c r="I46" s="179"/>
      <c r="J46" s="37"/>
      <c r="K46" s="30"/>
      <c r="L46" s="46"/>
    </row>
    <row r="47" spans="8:12">
      <c r="H47" s="50"/>
      <c r="I47" s="188"/>
      <c r="J47" s="38"/>
      <c r="K47" s="38"/>
      <c r="L47" s="43"/>
    </row>
    <row r="48" spans="8:12">
      <c r="H48" s="50"/>
      <c r="I48" s="188"/>
      <c r="J48" s="38"/>
      <c r="K48" s="38"/>
      <c r="L48" s="43"/>
    </row>
    <row r="49" spans="8:12">
      <c r="H49" s="50"/>
      <c r="I49" s="17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U132"/>
  <sheetViews>
    <sheetView topLeftCell="O1"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160</v>
      </c>
      <c r="B2" s="57"/>
      <c r="C2" s="58"/>
      <c r="D2" s="59"/>
      <c r="E2" s="59"/>
      <c r="F2" s="59"/>
      <c r="G2" s="59"/>
      <c r="H2" s="60"/>
      <c r="J2" s="56" t="str">
        <f>A2</f>
        <v>Ngày 5 tháng 8 năm 2016</v>
      </c>
      <c r="K2" s="57"/>
      <c r="L2" s="58"/>
      <c r="M2" s="59"/>
      <c r="N2" s="59"/>
      <c r="O2" s="59"/>
      <c r="P2" s="59"/>
      <c r="Q2" s="60"/>
      <c r="S2" s="56" t="str">
        <f>A2</f>
        <v>Ngày 5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5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05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1000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2150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500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1000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900</v>
      </c>
      <c r="X9" s="109"/>
      <c r="Y9" s="107"/>
      <c r="Z9" s="108">
        <v>142</v>
      </c>
      <c r="AA9" s="109"/>
      <c r="AB9" s="110"/>
      <c r="AC9" s="103" t="s">
        <v>44</v>
      </c>
      <c r="AD9" s="71"/>
      <c r="AE9" s="71"/>
      <c r="AF9" s="71"/>
      <c r="AG9" s="71">
        <v>500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/>
      <c r="AA10" s="90"/>
      <c r="AB10" s="91"/>
      <c r="AC10" s="103" t="s">
        <v>40</v>
      </c>
      <c r="AD10" s="81">
        <v>400</v>
      </c>
      <c r="AE10" s="71"/>
      <c r="AF10" s="71"/>
      <c r="AG10" s="111"/>
      <c r="AH10" s="71"/>
      <c r="AI10" s="71"/>
      <c r="AJ10" s="81"/>
      <c r="AK10" s="71"/>
      <c r="AL10" s="71"/>
      <c r="AM10" s="81">
        <v>400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2000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 t="s">
        <v>163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1800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2200</v>
      </c>
      <c r="X12" s="113"/>
      <c r="Y12" s="90"/>
      <c r="Z12" s="111">
        <v>212</v>
      </c>
      <c r="AA12" s="113"/>
      <c r="AB12" s="91"/>
      <c r="AC12" s="105" t="s">
        <v>112</v>
      </c>
      <c r="AD12" s="81"/>
      <c r="AE12" s="71"/>
      <c r="AF12" s="71"/>
      <c r="AG12" s="81"/>
      <c r="AH12" s="71"/>
      <c r="AI12" s="71"/>
      <c r="AJ12" s="81"/>
      <c r="AK12" s="71"/>
      <c r="AL12" s="71"/>
      <c r="AM12" s="81">
        <v>800</v>
      </c>
      <c r="AN12" s="71"/>
      <c r="AO12" s="71"/>
      <c r="AP12" s="81"/>
      <c r="AQ12" s="71"/>
      <c r="AR12" s="71"/>
      <c r="AS12" s="81">
        <v>200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1000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1000</v>
      </c>
      <c r="X13" s="101"/>
      <c r="Y13" s="99"/>
      <c r="Z13" s="104">
        <v>542</v>
      </c>
      <c r="AA13" s="101"/>
      <c r="AB13" s="102"/>
      <c r="AC13" s="103" t="s">
        <v>51</v>
      </c>
      <c r="AD13" s="71"/>
      <c r="AE13" s="71"/>
      <c r="AF13" s="71"/>
      <c r="AG13" s="104" t="s">
        <v>162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1000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1000</v>
      </c>
      <c r="X14" s="113"/>
      <c r="Y14" s="90"/>
      <c r="Z14" s="104">
        <v>542</v>
      </c>
      <c r="AA14" s="113"/>
      <c r="AB14" s="91"/>
      <c r="AC14" s="105" t="s">
        <v>52</v>
      </c>
      <c r="AD14" s="81"/>
      <c r="AE14" s="71"/>
      <c r="AF14" s="71"/>
      <c r="AG14" s="111" t="s">
        <v>162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1000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1000</v>
      </c>
      <c r="X15" s="99"/>
      <c r="Y15" s="99"/>
      <c r="Z15" s="104">
        <v>542</v>
      </c>
      <c r="AA15" s="101"/>
      <c r="AB15" s="102"/>
      <c r="AC15" s="105" t="s">
        <v>61</v>
      </c>
      <c r="AD15" s="71"/>
      <c r="AE15" s="71"/>
      <c r="AF15" s="71"/>
      <c r="AG15" s="104">
        <v>500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1000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1000</v>
      </c>
      <c r="X16" s="90"/>
      <c r="Y16" s="90"/>
      <c r="Z16" s="104">
        <v>542</v>
      </c>
      <c r="AA16" s="90"/>
      <c r="AB16" s="91"/>
      <c r="AC16" s="105" t="s">
        <v>62</v>
      </c>
      <c r="AD16" s="81"/>
      <c r="AE16" s="71"/>
      <c r="AF16" s="71"/>
      <c r="AG16" s="111" t="s">
        <v>162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1000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700</v>
      </c>
      <c r="X17" s="101"/>
      <c r="Y17" s="99"/>
      <c r="Z17" s="104">
        <v>542</v>
      </c>
      <c r="AA17" s="101"/>
      <c r="AB17" s="102"/>
      <c r="AC17" s="105" t="s">
        <v>74</v>
      </c>
      <c r="AD17" s="71"/>
      <c r="AE17" s="71"/>
      <c r="AF17" s="71"/>
      <c r="AG17" s="104">
        <v>500</v>
      </c>
      <c r="AH17" s="71"/>
      <c r="AI17" s="71"/>
      <c r="AJ17" s="71"/>
      <c r="AK17" s="71"/>
      <c r="AL17" s="71"/>
      <c r="AM17" s="71">
        <v>400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1100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400</v>
      </c>
      <c r="AE18" s="71"/>
      <c r="AF18" s="71"/>
      <c r="AG18" s="81">
        <v>500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15500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15400</v>
      </c>
      <c r="X19" s="99"/>
      <c r="Y19" s="99"/>
      <c r="Z19" s="104">
        <v>10262</v>
      </c>
      <c r="AA19" s="99"/>
      <c r="AB19" s="102"/>
      <c r="AC19" s="121" t="s">
        <v>113</v>
      </c>
      <c r="AD19" s="71"/>
      <c r="AE19" s="71"/>
      <c r="AF19" s="71"/>
      <c r="AG19" s="71">
        <v>3500</v>
      </c>
      <c r="AH19" s="71"/>
      <c r="AI19" s="71"/>
      <c r="AJ19" s="71"/>
      <c r="AK19" s="71"/>
      <c r="AL19" s="71"/>
      <c r="AM19" s="71"/>
      <c r="AN19" s="71"/>
      <c r="AO19" s="71"/>
      <c r="AP19" s="203">
        <v>3600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2000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284</v>
      </c>
      <c r="AA20" s="113"/>
      <c r="AB20" s="91"/>
      <c r="AC20" s="103" t="s">
        <v>80</v>
      </c>
      <c r="AD20" s="81"/>
      <c r="AE20" s="71"/>
      <c r="AF20" s="71"/>
      <c r="AG20" s="81">
        <v>1000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2000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142</v>
      </c>
      <c r="AA21" s="101"/>
      <c r="AB21" s="102"/>
      <c r="AC21" s="105" t="s">
        <v>56</v>
      </c>
      <c r="AD21" s="123"/>
      <c r="AE21" s="123"/>
      <c r="AF21" s="123"/>
      <c r="AG21" s="123">
        <v>1000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2000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1000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900</v>
      </c>
      <c r="U23" s="101"/>
      <c r="V23" s="99"/>
      <c r="W23" s="104">
        <v>2000</v>
      </c>
      <c r="X23" s="99"/>
      <c r="Y23" s="99"/>
      <c r="Z23" s="104">
        <v>248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/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900</v>
      </c>
      <c r="U24" s="113"/>
      <c r="V24" s="90"/>
      <c r="W24" s="104">
        <v>2000</v>
      </c>
      <c r="X24" s="90"/>
      <c r="Y24" s="90"/>
      <c r="Z24" s="104">
        <v>248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/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400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 t="s">
        <v>161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2150</v>
      </c>
      <c r="U26" s="113"/>
      <c r="V26" s="90"/>
      <c r="W26" s="111">
        <v>2800</v>
      </c>
      <c r="X26" s="113"/>
      <c r="Y26" s="90"/>
      <c r="Z26" s="119"/>
      <c r="AA26" s="90"/>
      <c r="AB26" s="91"/>
      <c r="AC26" s="103" t="s">
        <v>73</v>
      </c>
      <c r="AD26" s="125">
        <v>400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400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200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284</v>
      </c>
      <c r="AA27" s="101"/>
      <c r="AB27" s="102"/>
      <c r="AC27" s="71" t="s">
        <v>9</v>
      </c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284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284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>
        <v>300</v>
      </c>
      <c r="C30" s="81"/>
      <c r="D30" s="81"/>
      <c r="E30" s="71" t="s">
        <v>89</v>
      </c>
      <c r="F30" s="173"/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206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/>
      <c r="AH31" s="123"/>
      <c r="AI31" s="123"/>
      <c r="AJ31" s="123"/>
      <c r="AK31" s="123"/>
      <c r="AL31" s="123"/>
      <c r="AM31" s="160">
        <v>800</v>
      </c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400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206" t="s">
        <v>49</v>
      </c>
      <c r="K33" s="120">
        <v>500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>
        <v>200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300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300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600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300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300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300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300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/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700</v>
      </c>
      <c r="X47" s="99"/>
      <c r="Y47" s="99"/>
      <c r="Z47" s="104">
        <v>142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400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/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/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/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24</v>
      </c>
      <c r="T51" s="165"/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133</v>
      </c>
      <c r="T52" s="169">
        <v>28</v>
      </c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27</v>
      </c>
      <c r="T53" s="170">
        <v>56</v>
      </c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24</v>
      </c>
      <c r="T54" s="171">
        <v>28</v>
      </c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160</v>
      </c>
      <c r="B2" s="141"/>
      <c r="C2" s="5"/>
      <c r="D2" s="6"/>
      <c r="E2" s="7"/>
      <c r="F2" s="6"/>
      <c r="G2" s="8"/>
      <c r="H2" s="146" t="str">
        <f>A2</f>
        <v>Ngày 5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 t="s">
        <v>164</v>
      </c>
      <c r="I9" s="220">
        <v>110</v>
      </c>
      <c r="J9" s="154"/>
      <c r="K9" s="211" t="s">
        <v>167</v>
      </c>
      <c r="L9" s="217">
        <v>75</v>
      </c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 t="s">
        <v>165</v>
      </c>
      <c r="I10" s="220">
        <v>100</v>
      </c>
      <c r="J10" s="155"/>
      <c r="K10" s="33" t="s">
        <v>168</v>
      </c>
      <c r="L10" s="218">
        <v>75</v>
      </c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 t="s">
        <v>166</v>
      </c>
      <c r="I11" s="220">
        <v>100</v>
      </c>
      <c r="J11" s="154"/>
      <c r="K11" s="39" t="s">
        <v>193</v>
      </c>
      <c r="L11" s="219">
        <v>10</v>
      </c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 t="s">
        <v>167</v>
      </c>
      <c r="I12" s="220">
        <v>40</v>
      </c>
      <c r="J12" s="155"/>
      <c r="K12" s="33" t="s">
        <v>194</v>
      </c>
      <c r="L12" s="218">
        <v>10</v>
      </c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 t="s">
        <v>168</v>
      </c>
      <c r="I13" s="220">
        <v>60</v>
      </c>
      <c r="J13" s="37"/>
      <c r="K13" s="42" t="s">
        <v>171</v>
      </c>
      <c r="L13" s="219">
        <v>30</v>
      </c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200" t="s">
        <v>169</v>
      </c>
      <c r="I14" s="221">
        <v>130</v>
      </c>
      <c r="J14" s="32"/>
      <c r="K14" s="45" t="s">
        <v>10</v>
      </c>
      <c r="L14" s="219">
        <v>40</v>
      </c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66" t="s">
        <v>170</v>
      </c>
      <c r="I15" s="221">
        <v>10</v>
      </c>
      <c r="J15" s="37"/>
      <c r="K15" s="42" t="s">
        <v>144</v>
      </c>
      <c r="L15" s="219">
        <v>2200</v>
      </c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66" t="s">
        <v>171</v>
      </c>
      <c r="I16" s="221">
        <v>40</v>
      </c>
      <c r="J16" s="30"/>
      <c r="K16" s="45" t="s">
        <v>172</v>
      </c>
      <c r="L16" s="219">
        <v>655</v>
      </c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200" t="s">
        <v>10</v>
      </c>
      <c r="I17" s="221">
        <v>80</v>
      </c>
      <c r="J17" s="37"/>
      <c r="K17" s="42" t="s">
        <v>145</v>
      </c>
      <c r="L17" s="219">
        <v>1800</v>
      </c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200" t="s">
        <v>172</v>
      </c>
      <c r="I18" s="221">
        <v>150</v>
      </c>
      <c r="J18" s="30"/>
      <c r="K18" s="45" t="s">
        <v>173</v>
      </c>
      <c r="L18" s="219">
        <v>650</v>
      </c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66" t="s">
        <v>173</v>
      </c>
      <c r="I19" s="221">
        <v>200</v>
      </c>
      <c r="J19" s="37"/>
      <c r="K19" s="42" t="s">
        <v>174</v>
      </c>
      <c r="L19" s="219">
        <v>50</v>
      </c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200" t="s">
        <v>174</v>
      </c>
      <c r="I20" s="221">
        <v>60</v>
      </c>
      <c r="J20" s="32"/>
      <c r="K20" s="45" t="s">
        <v>175</v>
      </c>
      <c r="L20" s="219">
        <v>925</v>
      </c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66" t="s">
        <v>175</v>
      </c>
      <c r="I21" s="221">
        <v>500</v>
      </c>
      <c r="J21" s="37"/>
      <c r="K21" s="42" t="s">
        <v>178</v>
      </c>
      <c r="L21" s="219">
        <v>550</v>
      </c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66" t="s">
        <v>176</v>
      </c>
      <c r="I22" s="221">
        <v>100</v>
      </c>
      <c r="J22" s="30"/>
      <c r="K22" s="45" t="s">
        <v>179</v>
      </c>
      <c r="L22" s="219">
        <v>90</v>
      </c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200" t="s">
        <v>177</v>
      </c>
      <c r="I23" s="221">
        <v>200</v>
      </c>
      <c r="J23" s="37"/>
      <c r="K23" s="42" t="s">
        <v>148</v>
      </c>
      <c r="L23" s="219">
        <v>205</v>
      </c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66" t="s">
        <v>178</v>
      </c>
      <c r="I24" s="221">
        <v>150</v>
      </c>
      <c r="J24" s="32"/>
      <c r="K24" s="30" t="s">
        <v>1</v>
      </c>
      <c r="L24" s="219">
        <v>240</v>
      </c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200" t="s">
        <v>179</v>
      </c>
      <c r="I25" s="221">
        <v>100</v>
      </c>
      <c r="J25" s="37"/>
      <c r="K25" s="37" t="s">
        <v>180</v>
      </c>
      <c r="L25" s="219">
        <v>490</v>
      </c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66" t="s">
        <v>1</v>
      </c>
      <c r="I26" s="221">
        <v>200</v>
      </c>
      <c r="J26" s="32"/>
      <c r="K26" s="30" t="s">
        <v>195</v>
      </c>
      <c r="L26" s="219">
        <v>170</v>
      </c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 t="s">
        <v>180</v>
      </c>
      <c r="I27" s="222">
        <v>200</v>
      </c>
      <c r="J27" s="37"/>
      <c r="K27" s="30" t="s">
        <v>181</v>
      </c>
      <c r="L27" s="219">
        <v>200</v>
      </c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 t="s">
        <v>181</v>
      </c>
      <c r="I28" s="222">
        <v>1150</v>
      </c>
      <c r="J28" s="30"/>
      <c r="K28" s="38" t="s">
        <v>196</v>
      </c>
      <c r="L28" s="219">
        <v>45</v>
      </c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 t="s">
        <v>182</v>
      </c>
      <c r="I29" s="222">
        <v>70</v>
      </c>
      <c r="J29" s="37"/>
      <c r="K29" s="30" t="s">
        <v>184</v>
      </c>
      <c r="L29" s="219">
        <v>1400</v>
      </c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 t="s">
        <v>183</v>
      </c>
      <c r="I30" s="222">
        <v>20</v>
      </c>
      <c r="J30" s="30"/>
      <c r="K30" s="38" t="s">
        <v>185</v>
      </c>
      <c r="L30" s="219">
        <v>215</v>
      </c>
    </row>
    <row r="31" spans="1:12">
      <c r="H31" s="50" t="s">
        <v>184</v>
      </c>
      <c r="I31" s="222">
        <v>2550</v>
      </c>
      <c r="J31" s="37"/>
      <c r="K31" s="30" t="s">
        <v>186</v>
      </c>
      <c r="L31" s="219">
        <v>600</v>
      </c>
    </row>
    <row r="32" spans="1:12">
      <c r="H32" s="49" t="s">
        <v>185</v>
      </c>
      <c r="I32" s="222">
        <v>250</v>
      </c>
      <c r="J32" s="32"/>
      <c r="K32" s="30" t="s">
        <v>146</v>
      </c>
      <c r="L32" s="219">
        <v>1100</v>
      </c>
    </row>
    <row r="33" spans="8:12">
      <c r="H33" s="50" t="s">
        <v>186</v>
      </c>
      <c r="I33" s="222">
        <v>600</v>
      </c>
      <c r="J33" s="37"/>
      <c r="K33" s="38" t="s">
        <v>187</v>
      </c>
      <c r="L33" s="219">
        <v>260</v>
      </c>
    </row>
    <row r="34" spans="8:12">
      <c r="H34" s="166" t="s">
        <v>187</v>
      </c>
      <c r="I34" s="222">
        <v>300</v>
      </c>
      <c r="J34" s="32"/>
      <c r="K34" s="30" t="s">
        <v>147</v>
      </c>
      <c r="L34" s="219">
        <v>1100</v>
      </c>
    </row>
    <row r="35" spans="8:12">
      <c r="H35" s="50" t="s">
        <v>188</v>
      </c>
      <c r="I35" s="222">
        <v>200</v>
      </c>
      <c r="J35" s="37"/>
      <c r="K35" s="38" t="s">
        <v>188</v>
      </c>
      <c r="L35" s="219">
        <v>275</v>
      </c>
    </row>
    <row r="36" spans="8:12">
      <c r="H36" s="49" t="s">
        <v>189</v>
      </c>
      <c r="I36" s="222">
        <v>150</v>
      </c>
      <c r="J36" s="32"/>
      <c r="K36" s="30" t="s">
        <v>189</v>
      </c>
      <c r="L36" s="219">
        <v>205</v>
      </c>
    </row>
    <row r="37" spans="8:12">
      <c r="H37" s="50" t="s">
        <v>190</v>
      </c>
      <c r="I37" s="222">
        <v>800</v>
      </c>
      <c r="J37" s="37"/>
      <c r="K37" s="38" t="s">
        <v>190</v>
      </c>
      <c r="L37" s="219">
        <v>700</v>
      </c>
    </row>
    <row r="38" spans="8:12">
      <c r="H38" s="49" t="s">
        <v>74</v>
      </c>
      <c r="I38" s="222">
        <v>200</v>
      </c>
      <c r="J38" s="30"/>
      <c r="K38" s="30" t="s">
        <v>74</v>
      </c>
      <c r="L38" s="219">
        <v>180</v>
      </c>
    </row>
    <row r="39" spans="8:12">
      <c r="H39" s="50" t="s">
        <v>191</v>
      </c>
      <c r="I39" s="222">
        <v>500</v>
      </c>
      <c r="J39" s="37"/>
      <c r="K39" s="38" t="s">
        <v>197</v>
      </c>
      <c r="L39" s="219">
        <v>100</v>
      </c>
    </row>
    <row r="40" spans="8:12">
      <c r="H40" s="49" t="s">
        <v>192</v>
      </c>
      <c r="I40" s="222">
        <v>2500</v>
      </c>
      <c r="J40" s="30"/>
      <c r="K40" s="30" t="s">
        <v>198</v>
      </c>
      <c r="L40" s="219">
        <v>100</v>
      </c>
    </row>
    <row r="41" spans="8:12">
      <c r="H41" s="50"/>
      <c r="I41" s="209"/>
      <c r="J41" s="37"/>
      <c r="K41" s="38" t="s">
        <v>199</v>
      </c>
      <c r="L41" s="219">
        <v>100</v>
      </c>
    </row>
    <row r="42" spans="8:12">
      <c r="H42" s="49"/>
      <c r="I42" s="208"/>
      <c r="J42" s="32"/>
      <c r="K42" s="30" t="s">
        <v>192</v>
      </c>
      <c r="L42" s="219">
        <v>700</v>
      </c>
    </row>
    <row r="43" spans="8:12">
      <c r="H43" s="166"/>
      <c r="I43" s="208"/>
      <c r="J43" s="32"/>
      <c r="K43" s="38"/>
      <c r="L43" s="43"/>
    </row>
    <row r="44" spans="8:12">
      <c r="H44" s="50"/>
      <c r="I44" s="209"/>
      <c r="J44" s="37"/>
      <c r="K44" s="30"/>
      <c r="L44" s="46"/>
    </row>
    <row r="45" spans="8:12">
      <c r="H45" s="49"/>
      <c r="I45" s="208"/>
      <c r="J45" s="32"/>
      <c r="K45" s="38"/>
      <c r="L45" s="43"/>
    </row>
    <row r="46" spans="8:12">
      <c r="H46" s="50"/>
      <c r="I46" s="209"/>
      <c r="J46" s="37"/>
      <c r="K46" s="30"/>
      <c r="L46" s="46"/>
    </row>
    <row r="47" spans="8:12">
      <c r="H47" s="50"/>
      <c r="I47" s="210"/>
      <c r="J47" s="38"/>
      <c r="K47" s="38"/>
      <c r="L47" s="43"/>
    </row>
    <row r="48" spans="8:12">
      <c r="H48" s="50"/>
      <c r="I48" s="210"/>
      <c r="J48" s="38"/>
      <c r="K48" s="38"/>
      <c r="L48" s="43"/>
    </row>
    <row r="49" spans="8:12">
      <c r="H49" s="50"/>
      <c r="I49" s="20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U132"/>
  <sheetViews>
    <sheetView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200</v>
      </c>
      <c r="B2" s="57"/>
      <c r="C2" s="58"/>
      <c r="D2" s="59"/>
      <c r="E2" s="59"/>
      <c r="F2" s="59"/>
      <c r="G2" s="59"/>
      <c r="H2" s="60"/>
      <c r="J2" s="56" t="str">
        <f>A2</f>
        <v>Ngày 8 tháng 8 năm 2016</v>
      </c>
      <c r="K2" s="57"/>
      <c r="L2" s="58"/>
      <c r="M2" s="59"/>
      <c r="N2" s="59"/>
      <c r="O2" s="59"/>
      <c r="P2" s="59"/>
      <c r="Q2" s="60"/>
      <c r="S2" s="56" t="str">
        <f>A2</f>
        <v>Ngày 8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8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07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1100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/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200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1100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900</v>
      </c>
      <c r="X9" s="109"/>
      <c r="Y9" s="107"/>
      <c r="Z9" s="108">
        <v>50</v>
      </c>
      <c r="AA9" s="109"/>
      <c r="AB9" s="110"/>
      <c r="AC9" s="103" t="s">
        <v>44</v>
      </c>
      <c r="AD9" s="71"/>
      <c r="AE9" s="71"/>
      <c r="AF9" s="71"/>
      <c r="AG9" s="71">
        <v>200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/>
      <c r="AA10" s="90"/>
      <c r="AB10" s="91"/>
      <c r="AC10" s="103" t="s">
        <v>40</v>
      </c>
      <c r="AD10" s="81">
        <v>500</v>
      </c>
      <c r="AE10" s="71"/>
      <c r="AF10" s="71"/>
      <c r="AG10" s="111">
        <v>100</v>
      </c>
      <c r="AH10" s="71"/>
      <c r="AI10" s="71"/>
      <c r="AJ10" s="81"/>
      <c r="AK10" s="71"/>
      <c r="AL10" s="71"/>
      <c r="AM10" s="81">
        <v>200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2200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 t="s">
        <v>202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1600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2200</v>
      </c>
      <c r="X12" s="113"/>
      <c r="Y12" s="90"/>
      <c r="Z12" s="111">
        <v>404</v>
      </c>
      <c r="AA12" s="113"/>
      <c r="AB12" s="91"/>
      <c r="AC12" s="105" t="s">
        <v>112</v>
      </c>
      <c r="AD12" s="81"/>
      <c r="AE12" s="71"/>
      <c r="AF12" s="71"/>
      <c r="AG12" s="81">
        <v>200</v>
      </c>
      <c r="AH12" s="71"/>
      <c r="AI12" s="71"/>
      <c r="AJ12" s="81"/>
      <c r="AK12" s="71"/>
      <c r="AL12" s="71"/>
      <c r="AM12" s="81">
        <v>400</v>
      </c>
      <c r="AN12" s="71"/>
      <c r="AO12" s="71"/>
      <c r="AP12" s="81"/>
      <c r="AQ12" s="71"/>
      <c r="AR12" s="71"/>
      <c r="AS12" s="81">
        <v>400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1100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1000</v>
      </c>
      <c r="X13" s="101"/>
      <c r="Y13" s="99"/>
      <c r="Z13" s="104">
        <v>450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1100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1000</v>
      </c>
      <c r="X14" s="113"/>
      <c r="Y14" s="90"/>
      <c r="Z14" s="104">
        <v>450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1100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1000</v>
      </c>
      <c r="X15" s="99"/>
      <c r="Y15" s="99"/>
      <c r="Z15" s="104">
        <v>450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1100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1000</v>
      </c>
      <c r="X16" s="90"/>
      <c r="Y16" s="90"/>
      <c r="Z16" s="104">
        <v>450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1100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700</v>
      </c>
      <c r="X17" s="101"/>
      <c r="Y17" s="99"/>
      <c r="Z17" s="104">
        <v>450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400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1200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500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15500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15400</v>
      </c>
      <c r="X19" s="99"/>
      <c r="Y19" s="99"/>
      <c r="Z19" s="104">
        <v>10562</v>
      </c>
      <c r="AA19" s="99"/>
      <c r="AB19" s="102"/>
      <c r="AC19" s="121" t="s">
        <v>113</v>
      </c>
      <c r="AD19" s="71"/>
      <c r="AE19" s="71"/>
      <c r="AF19" s="71"/>
      <c r="AG19" s="71">
        <v>3400</v>
      </c>
      <c r="AH19" s="71"/>
      <c r="AI19" s="71"/>
      <c r="AJ19" s="71"/>
      <c r="AK19" s="71"/>
      <c r="AL19" s="71"/>
      <c r="AM19" s="71"/>
      <c r="AN19" s="71"/>
      <c r="AO19" s="71"/>
      <c r="AP19" s="203">
        <v>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2200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100</v>
      </c>
      <c r="AA20" s="113"/>
      <c r="AB20" s="91"/>
      <c r="AC20" s="103" t="s">
        <v>80</v>
      </c>
      <c r="AD20" s="81"/>
      <c r="AE20" s="71"/>
      <c r="AF20" s="71"/>
      <c r="AG20" s="81">
        <v>400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2200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50</v>
      </c>
      <c r="AA21" s="101"/>
      <c r="AB21" s="102"/>
      <c r="AC21" s="105" t="s">
        <v>56</v>
      </c>
      <c r="AD21" s="123"/>
      <c r="AE21" s="123"/>
      <c r="AF21" s="123"/>
      <c r="AG21" s="123">
        <v>400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2200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400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800</v>
      </c>
      <c r="U23" s="101"/>
      <c r="V23" s="99"/>
      <c r="W23" s="104">
        <v>2000</v>
      </c>
      <c r="X23" s="99"/>
      <c r="Y23" s="99"/>
      <c r="Z23" s="104">
        <v>252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/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800</v>
      </c>
      <c r="U24" s="113"/>
      <c r="V24" s="90"/>
      <c r="W24" s="104">
        <v>2000</v>
      </c>
      <c r="X24" s="90"/>
      <c r="Y24" s="90"/>
      <c r="Z24" s="104">
        <v>252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/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500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/>
      <c r="U26" s="113"/>
      <c r="V26" s="90"/>
      <c r="W26" s="111">
        <v>1150</v>
      </c>
      <c r="X26" s="113"/>
      <c r="Y26" s="90"/>
      <c r="Z26" s="111">
        <v>1650</v>
      </c>
      <c r="AA26" s="90"/>
      <c r="AB26" s="91"/>
      <c r="AC26" s="103" t="s">
        <v>73</v>
      </c>
      <c r="AD26" s="125">
        <v>500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200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200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100</v>
      </c>
      <c r="AA27" s="101"/>
      <c r="AB27" s="102"/>
      <c r="AC27" s="71" t="s">
        <v>9</v>
      </c>
      <c r="AD27" s="123"/>
      <c r="AE27" s="123"/>
      <c r="AF27" s="123"/>
      <c r="AG27" s="123">
        <v>100</v>
      </c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100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100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/>
      <c r="C30" s="81"/>
      <c r="D30" s="81"/>
      <c r="E30" s="71" t="s">
        <v>89</v>
      </c>
      <c r="F30" s="173">
        <v>300</v>
      </c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206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>
        <v>200</v>
      </c>
      <c r="AH31" s="123"/>
      <c r="AI31" s="123"/>
      <c r="AJ31" s="123"/>
      <c r="AK31" s="123"/>
      <c r="AL31" s="123"/>
      <c r="AM31" s="160">
        <v>400</v>
      </c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400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206" t="s">
        <v>49</v>
      </c>
      <c r="K33" s="120">
        <v>550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>
        <v>200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400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400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800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200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600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400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200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>
        <v>200</v>
      </c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700</v>
      </c>
      <c r="X47" s="99"/>
      <c r="Y47" s="99"/>
      <c r="Z47" s="104">
        <v>50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500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>
        <f>15+25</f>
        <v>40</v>
      </c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>
        <f>15+25</f>
        <v>40</v>
      </c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 t="s">
        <v>201</v>
      </c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60</v>
      </c>
      <c r="T51" s="165">
        <f>15+25</f>
        <v>40</v>
      </c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133</v>
      </c>
      <c r="T52" s="169"/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27</v>
      </c>
      <c r="T53" s="170"/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24</v>
      </c>
      <c r="T54" s="171"/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>
        <v>400</v>
      </c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200</v>
      </c>
      <c r="B2" s="141"/>
      <c r="C2" s="5"/>
      <c r="D2" s="6"/>
      <c r="E2" s="7"/>
      <c r="F2" s="6"/>
      <c r="G2" s="8"/>
      <c r="H2" s="146" t="str">
        <f>A2</f>
        <v>Ngày 8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1300</v>
      </c>
      <c r="C9" s="25"/>
      <c r="D9" s="25"/>
      <c r="E9" s="24"/>
      <c r="F9" s="25"/>
      <c r="G9" s="25"/>
      <c r="H9" s="200"/>
      <c r="I9" s="212"/>
      <c r="J9" s="154"/>
      <c r="K9" s="211"/>
      <c r="L9" s="28"/>
    </row>
    <row r="10" spans="1:12" s="35" customFormat="1">
      <c r="A10" s="29" t="s">
        <v>51</v>
      </c>
      <c r="B10" s="175">
        <v>1300</v>
      </c>
      <c r="C10" s="30"/>
      <c r="D10" s="31"/>
      <c r="E10" s="30"/>
      <c r="F10" s="30"/>
      <c r="G10" s="31"/>
      <c r="H10" s="166"/>
      <c r="I10" s="213"/>
      <c r="J10" s="155"/>
      <c r="K10" s="33"/>
      <c r="L10" s="34"/>
    </row>
    <row r="11" spans="1:12">
      <c r="A11" s="26" t="s">
        <v>52</v>
      </c>
      <c r="B11" s="175">
        <v>1300</v>
      </c>
      <c r="C11" s="25"/>
      <c r="D11" s="36"/>
      <c r="E11" s="37"/>
      <c r="F11" s="38"/>
      <c r="G11" s="36"/>
      <c r="H11" s="200"/>
      <c r="I11" s="212"/>
      <c r="J11" s="154"/>
      <c r="K11" s="39"/>
      <c r="L11" s="40"/>
    </row>
    <row r="12" spans="1:12" s="35" customFormat="1">
      <c r="A12" s="29" t="s">
        <v>61</v>
      </c>
      <c r="B12" s="175">
        <v>1300</v>
      </c>
      <c r="C12" s="30"/>
      <c r="D12" s="30"/>
      <c r="E12" s="30"/>
      <c r="F12" s="30"/>
      <c r="G12" s="30"/>
      <c r="H12" s="166"/>
      <c r="I12" s="213"/>
      <c r="J12" s="155"/>
      <c r="K12" s="33"/>
      <c r="L12" s="34"/>
    </row>
    <row r="13" spans="1:12" s="44" customFormat="1">
      <c r="A13" s="41" t="s">
        <v>62</v>
      </c>
      <c r="B13" s="175">
        <v>1300</v>
      </c>
      <c r="C13" s="25"/>
      <c r="D13" s="37"/>
      <c r="E13" s="37"/>
      <c r="F13" s="37"/>
      <c r="G13" s="37"/>
      <c r="H13" s="200"/>
      <c r="I13" s="212"/>
      <c r="J13" s="37"/>
      <c r="K13" s="42"/>
      <c r="L13" s="43"/>
    </row>
    <row r="14" spans="1:12" s="35" customFormat="1">
      <c r="A14" s="29" t="s">
        <v>74</v>
      </c>
      <c r="B14" s="175">
        <v>1300</v>
      </c>
      <c r="C14" s="30"/>
      <c r="D14" s="30"/>
      <c r="E14" s="30"/>
      <c r="F14" s="30"/>
      <c r="G14" s="30"/>
      <c r="H14" s="200"/>
      <c r="I14" s="214"/>
      <c r="J14" s="32"/>
      <c r="K14" s="45"/>
      <c r="L14" s="46"/>
    </row>
    <row r="15" spans="1:12" s="44" customFormat="1">
      <c r="A15" s="41" t="s">
        <v>59</v>
      </c>
      <c r="B15" s="175">
        <v>1300</v>
      </c>
      <c r="C15" s="25"/>
      <c r="D15" s="37"/>
      <c r="E15" s="37"/>
      <c r="F15" s="37"/>
      <c r="G15" s="37"/>
      <c r="H15" s="166"/>
      <c r="I15" s="215"/>
      <c r="J15" s="37"/>
      <c r="K15" s="42"/>
      <c r="L15" s="43"/>
    </row>
    <row r="16" spans="1:12" s="35" customFormat="1">
      <c r="A16" s="29" t="s">
        <v>60</v>
      </c>
      <c r="B16" s="175">
        <v>1300</v>
      </c>
      <c r="C16" s="30"/>
      <c r="D16" s="30"/>
      <c r="E16" s="30"/>
      <c r="F16" s="30"/>
      <c r="G16" s="30"/>
      <c r="H16" s="166"/>
      <c r="I16" s="215"/>
      <c r="J16" s="30"/>
      <c r="K16" s="45"/>
      <c r="L16" s="46"/>
    </row>
    <row r="17" spans="1:12">
      <c r="A17" s="26" t="s">
        <v>82</v>
      </c>
      <c r="B17" s="175">
        <v>11700</v>
      </c>
      <c r="C17" s="25"/>
      <c r="D17" s="38"/>
      <c r="E17" s="37"/>
      <c r="F17" s="38"/>
      <c r="G17" s="38"/>
      <c r="H17" s="200"/>
      <c r="I17" s="214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200"/>
      <c r="I18" s="214"/>
      <c r="J18" s="30"/>
      <c r="K18" s="45"/>
      <c r="L18" s="46"/>
    </row>
    <row r="19" spans="1:12">
      <c r="A19" s="26" t="s">
        <v>84</v>
      </c>
      <c r="B19" s="179">
        <v>300</v>
      </c>
      <c r="C19" s="25"/>
      <c r="D19" s="38"/>
      <c r="E19" s="37"/>
      <c r="F19" s="38"/>
      <c r="G19" s="38"/>
      <c r="H19" s="166"/>
      <c r="I19" s="215"/>
      <c r="J19" s="37"/>
      <c r="K19" s="42"/>
      <c r="L19" s="43"/>
    </row>
    <row r="20" spans="1:12" s="35" customFormat="1">
      <c r="A20" s="29" t="s">
        <v>81</v>
      </c>
      <c r="B20" s="179">
        <v>300</v>
      </c>
      <c r="C20" s="30"/>
      <c r="D20" s="30"/>
      <c r="E20" s="30"/>
      <c r="F20" s="30"/>
      <c r="G20" s="30"/>
      <c r="H20" s="200"/>
      <c r="I20" s="214"/>
      <c r="J20" s="32"/>
      <c r="K20" s="45"/>
      <c r="L20" s="46"/>
    </row>
    <row r="21" spans="1:12">
      <c r="A21" s="26" t="s">
        <v>85</v>
      </c>
      <c r="B21" s="179">
        <v>300</v>
      </c>
      <c r="C21" s="25"/>
      <c r="D21" s="38"/>
      <c r="E21" s="37"/>
      <c r="F21" s="38"/>
      <c r="G21" s="38"/>
      <c r="H21" s="166"/>
      <c r="I21" s="215"/>
      <c r="J21" s="37"/>
      <c r="K21" s="42"/>
      <c r="L21" s="43"/>
    </row>
    <row r="22" spans="1:12" s="35" customFormat="1">
      <c r="A22" s="29" t="s">
        <v>16</v>
      </c>
      <c r="B22" s="179">
        <v>600</v>
      </c>
      <c r="C22" s="30"/>
      <c r="D22" s="30"/>
      <c r="E22" s="30"/>
      <c r="F22" s="30"/>
      <c r="G22" s="30"/>
      <c r="H22" s="166"/>
      <c r="I22" s="215"/>
      <c r="J22" s="30"/>
      <c r="K22" s="45"/>
      <c r="L22" s="46"/>
    </row>
    <row r="23" spans="1:12">
      <c r="A23" s="26" t="s">
        <v>57</v>
      </c>
      <c r="B23" s="179">
        <v>600</v>
      </c>
      <c r="C23" s="25"/>
      <c r="D23" s="38"/>
      <c r="E23" s="37"/>
      <c r="F23" s="38"/>
      <c r="G23" s="38"/>
      <c r="H23" s="200"/>
      <c r="I23" s="214"/>
      <c r="J23" s="37"/>
      <c r="K23" s="42"/>
      <c r="L23" s="43"/>
    </row>
    <row r="24" spans="1:12" s="35" customFormat="1">
      <c r="A24" s="29" t="s">
        <v>58</v>
      </c>
      <c r="B24" s="179">
        <v>600</v>
      </c>
      <c r="C24" s="30"/>
      <c r="D24" s="30"/>
      <c r="E24" s="30"/>
      <c r="F24" s="30"/>
      <c r="G24" s="30"/>
      <c r="H24" s="166"/>
      <c r="I24" s="215"/>
      <c r="J24" s="32"/>
      <c r="K24" s="30"/>
      <c r="L24" s="46"/>
    </row>
    <row r="25" spans="1:12">
      <c r="A25" s="26" t="s">
        <v>40</v>
      </c>
      <c r="B25" s="179">
        <v>300</v>
      </c>
      <c r="C25" s="25"/>
      <c r="D25" s="38"/>
      <c r="E25" s="37"/>
      <c r="F25" s="38"/>
      <c r="G25" s="38"/>
      <c r="H25" s="200"/>
      <c r="I25" s="214"/>
      <c r="J25" s="37"/>
      <c r="K25" s="37"/>
      <c r="L25" s="40"/>
    </row>
    <row r="26" spans="1:12" s="35" customFormat="1">
      <c r="A26" s="29" t="s">
        <v>41</v>
      </c>
      <c r="B26" s="179">
        <v>300</v>
      </c>
      <c r="C26" s="30"/>
      <c r="D26" s="30"/>
      <c r="E26" s="30"/>
      <c r="F26" s="30"/>
      <c r="G26" s="30"/>
      <c r="H26" s="166"/>
      <c r="I26" s="215"/>
      <c r="J26" s="32"/>
      <c r="K26" s="30"/>
      <c r="L26" s="46"/>
    </row>
    <row r="27" spans="1:12">
      <c r="A27" s="26" t="s">
        <v>43</v>
      </c>
      <c r="B27" s="179">
        <v>300</v>
      </c>
      <c r="C27" s="25"/>
      <c r="D27" s="38"/>
      <c r="E27" s="37"/>
      <c r="F27" s="38"/>
      <c r="G27" s="38"/>
      <c r="H27" s="49"/>
      <c r="I27" s="208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208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20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208"/>
      <c r="J30" s="30"/>
      <c r="K30" s="38"/>
      <c r="L30" s="43"/>
    </row>
    <row r="31" spans="1:12">
      <c r="H31" s="50"/>
      <c r="I31" s="209"/>
      <c r="J31" s="37"/>
      <c r="K31" s="30"/>
      <c r="L31" s="46"/>
    </row>
    <row r="32" spans="1:12">
      <c r="H32" s="49"/>
      <c r="I32" s="208"/>
      <c r="J32" s="32"/>
      <c r="K32" s="30"/>
      <c r="L32" s="46"/>
    </row>
    <row r="33" spans="8:12">
      <c r="H33" s="50"/>
      <c r="I33" s="209"/>
      <c r="J33" s="37"/>
      <c r="K33" s="38"/>
      <c r="L33" s="43"/>
    </row>
    <row r="34" spans="8:12">
      <c r="H34" s="166"/>
      <c r="I34" s="208"/>
      <c r="J34" s="32"/>
      <c r="K34" s="30"/>
      <c r="L34" s="46"/>
    </row>
    <row r="35" spans="8:12">
      <c r="H35" s="50"/>
      <c r="I35" s="209"/>
      <c r="J35" s="37"/>
      <c r="K35" s="38"/>
      <c r="L35" s="43"/>
    </row>
    <row r="36" spans="8:12">
      <c r="H36" s="49"/>
      <c r="I36" s="208"/>
      <c r="J36" s="32"/>
      <c r="K36" s="30"/>
      <c r="L36" s="46"/>
    </row>
    <row r="37" spans="8:12">
      <c r="H37" s="50"/>
      <c r="I37" s="209"/>
      <c r="J37" s="37"/>
      <c r="K37" s="38"/>
      <c r="L37" s="43"/>
    </row>
    <row r="38" spans="8:12">
      <c r="H38" s="49"/>
      <c r="I38" s="208"/>
      <c r="J38" s="30"/>
      <c r="K38" s="30"/>
      <c r="L38" s="46"/>
    </row>
    <row r="39" spans="8:12">
      <c r="H39" s="50"/>
      <c r="I39" s="209"/>
      <c r="J39" s="37"/>
      <c r="K39" s="38"/>
      <c r="L39" s="43"/>
    </row>
    <row r="40" spans="8:12">
      <c r="H40" s="49"/>
      <c r="I40" s="208"/>
      <c r="J40" s="30"/>
      <c r="K40" s="30"/>
      <c r="L40" s="46"/>
    </row>
    <row r="41" spans="8:12">
      <c r="H41" s="50"/>
      <c r="I41" s="209"/>
      <c r="J41" s="37"/>
      <c r="K41" s="38"/>
      <c r="L41" s="43"/>
    </row>
    <row r="42" spans="8:12">
      <c r="H42" s="49"/>
      <c r="I42" s="208"/>
      <c r="J42" s="32"/>
      <c r="K42" s="30"/>
      <c r="L42" s="46"/>
    </row>
    <row r="43" spans="8:12">
      <c r="H43" s="166"/>
      <c r="I43" s="208"/>
      <c r="J43" s="32"/>
      <c r="K43" s="38"/>
      <c r="L43" s="43"/>
    </row>
    <row r="44" spans="8:12">
      <c r="H44" s="50"/>
      <c r="I44" s="209"/>
      <c r="J44" s="37"/>
      <c r="K44" s="30"/>
      <c r="L44" s="46"/>
    </row>
    <row r="45" spans="8:12">
      <c r="H45" s="49"/>
      <c r="I45" s="208"/>
      <c r="J45" s="32"/>
      <c r="K45" s="38"/>
      <c r="L45" s="43"/>
    </row>
    <row r="46" spans="8:12">
      <c r="H46" s="50"/>
      <c r="I46" s="209"/>
      <c r="J46" s="37"/>
      <c r="K46" s="30"/>
      <c r="L46" s="46"/>
    </row>
    <row r="47" spans="8:12">
      <c r="H47" s="50"/>
      <c r="I47" s="210"/>
      <c r="J47" s="38"/>
      <c r="K47" s="38"/>
      <c r="L47" s="43"/>
    </row>
    <row r="48" spans="8:12">
      <c r="H48" s="50"/>
      <c r="I48" s="210"/>
      <c r="J48" s="38"/>
      <c r="K48" s="38"/>
      <c r="L48" s="43"/>
    </row>
    <row r="49" spans="8:12">
      <c r="H49" s="50"/>
      <c r="I49" s="20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U132"/>
  <sheetViews>
    <sheetView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203</v>
      </c>
      <c r="B2" s="57"/>
      <c r="C2" s="58"/>
      <c r="D2" s="59"/>
      <c r="E2" s="59"/>
      <c r="F2" s="59"/>
      <c r="G2" s="59"/>
      <c r="H2" s="60"/>
      <c r="J2" s="56" t="str">
        <f>A2</f>
        <v>Ngày 9 tháng 8 năm 2016</v>
      </c>
      <c r="K2" s="57"/>
      <c r="L2" s="58"/>
      <c r="M2" s="59"/>
      <c r="N2" s="59"/>
      <c r="O2" s="59"/>
      <c r="P2" s="59"/>
      <c r="Q2" s="60"/>
      <c r="S2" s="56" t="str">
        <f>A2</f>
        <v>Ngày 9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9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 t="e">
        <f>#REF!</f>
        <v>#REF!</v>
      </c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16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900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1800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200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900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900</v>
      </c>
      <c r="X9" s="109"/>
      <c r="Y9" s="107"/>
      <c r="Z9" s="108">
        <v>126</v>
      </c>
      <c r="AA9" s="109"/>
      <c r="AB9" s="110"/>
      <c r="AC9" s="103" t="s">
        <v>44</v>
      </c>
      <c r="AD9" s="71"/>
      <c r="AE9" s="71"/>
      <c r="AF9" s="71"/>
      <c r="AG9" s="71">
        <v>200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/>
      <c r="AA10" s="90"/>
      <c r="AB10" s="91"/>
      <c r="AC10" s="103" t="s">
        <v>40</v>
      </c>
      <c r="AD10" s="81">
        <v>500</v>
      </c>
      <c r="AE10" s="71"/>
      <c r="AF10" s="71"/>
      <c r="AG10" s="111">
        <v>100</v>
      </c>
      <c r="AH10" s="71"/>
      <c r="AI10" s="71"/>
      <c r="AJ10" s="81"/>
      <c r="AK10" s="71"/>
      <c r="AL10" s="71"/>
      <c r="AM10" s="81"/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1800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 t="s">
        <v>202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2000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2200</v>
      </c>
      <c r="X12" s="113"/>
      <c r="Y12" s="90"/>
      <c r="Z12" s="111">
        <v>248</v>
      </c>
      <c r="AA12" s="113"/>
      <c r="AB12" s="91"/>
      <c r="AC12" s="105" t="s">
        <v>112</v>
      </c>
      <c r="AD12" s="81"/>
      <c r="AE12" s="71"/>
      <c r="AF12" s="71"/>
      <c r="AG12" s="81">
        <v>200</v>
      </c>
      <c r="AH12" s="71"/>
      <c r="AI12" s="71"/>
      <c r="AJ12" s="81"/>
      <c r="AK12" s="71"/>
      <c r="AL12" s="71"/>
      <c r="AM12" s="81"/>
      <c r="AN12" s="71"/>
      <c r="AO12" s="71"/>
      <c r="AP12" s="81"/>
      <c r="AQ12" s="71"/>
      <c r="AR12" s="71"/>
      <c r="AS12" s="81">
        <v>400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 t="s">
        <v>205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1100</v>
      </c>
      <c r="X13" s="101"/>
      <c r="Y13" s="99"/>
      <c r="Z13" s="104">
        <v>604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 t="s">
        <v>206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1100</v>
      </c>
      <c r="X14" s="113"/>
      <c r="Y14" s="90"/>
      <c r="Z14" s="104">
        <v>604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900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1100</v>
      </c>
      <c r="X15" s="99"/>
      <c r="Y15" s="99"/>
      <c r="Z15" s="104">
        <v>604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900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1100</v>
      </c>
      <c r="X16" s="90"/>
      <c r="Y16" s="90"/>
      <c r="Z16" s="104">
        <v>604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900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800</v>
      </c>
      <c r="X17" s="101"/>
      <c r="Y17" s="99"/>
      <c r="Z17" s="104">
        <v>604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400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1000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500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15500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15700</v>
      </c>
      <c r="X19" s="99"/>
      <c r="Y19" s="99"/>
      <c r="Z19" s="104">
        <v>10712</v>
      </c>
      <c r="AA19" s="99"/>
      <c r="AB19" s="102"/>
      <c r="AC19" s="121" t="s">
        <v>113</v>
      </c>
      <c r="AD19" s="71"/>
      <c r="AE19" s="71"/>
      <c r="AF19" s="71"/>
      <c r="AG19" s="71">
        <v>3400</v>
      </c>
      <c r="AH19" s="71"/>
      <c r="AI19" s="71"/>
      <c r="AJ19" s="71"/>
      <c r="AK19" s="71"/>
      <c r="AL19" s="71"/>
      <c r="AM19" s="71"/>
      <c r="AN19" s="71"/>
      <c r="AO19" s="71"/>
      <c r="AP19" s="203">
        <v>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1800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252</v>
      </c>
      <c r="AA20" s="113"/>
      <c r="AB20" s="91"/>
      <c r="AC20" s="103" t="s">
        <v>80</v>
      </c>
      <c r="AD20" s="81"/>
      <c r="AE20" s="71"/>
      <c r="AF20" s="71"/>
      <c r="AG20" s="81">
        <v>400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1800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126</v>
      </c>
      <c r="AA21" s="101"/>
      <c r="AB21" s="102"/>
      <c r="AC21" s="105" t="s">
        <v>56</v>
      </c>
      <c r="AD21" s="123"/>
      <c r="AE21" s="123"/>
      <c r="AF21" s="123"/>
      <c r="AG21" s="123">
        <v>400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1800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400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1000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/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1000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/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500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1800</v>
      </c>
      <c r="U26" s="113"/>
      <c r="V26" s="90"/>
      <c r="W26" s="111">
        <v>1000</v>
      </c>
      <c r="X26" s="113"/>
      <c r="Y26" s="90"/>
      <c r="Z26" s="111"/>
      <c r="AA26" s="90"/>
      <c r="AB26" s="91"/>
      <c r="AC26" s="103" t="s">
        <v>73</v>
      </c>
      <c r="AD26" s="125">
        <v>500</v>
      </c>
      <c r="AE26" s="123"/>
      <c r="AF26" s="123"/>
      <c r="AG26" s="125"/>
      <c r="AH26" s="123"/>
      <c r="AI26" s="123"/>
      <c r="AJ26" s="125"/>
      <c r="AK26" s="123"/>
      <c r="AL26" s="123"/>
      <c r="AM26" s="159"/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200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252</v>
      </c>
      <c r="AA27" s="101"/>
      <c r="AB27" s="102"/>
      <c r="AC27" s="71" t="s">
        <v>9</v>
      </c>
      <c r="AD27" s="123"/>
      <c r="AE27" s="123"/>
      <c r="AF27" s="123"/>
      <c r="AG27" s="123">
        <v>100</v>
      </c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252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252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>
        <v>300</v>
      </c>
      <c r="C30" s="81"/>
      <c r="D30" s="81"/>
      <c r="E30" s="71" t="s">
        <v>89</v>
      </c>
      <c r="F30" s="173">
        <v>300</v>
      </c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206" t="s">
        <v>18</v>
      </c>
      <c r="K31" s="120" t="s">
        <v>207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>
        <v>200</v>
      </c>
      <c r="AH31" s="123"/>
      <c r="AI31" s="123"/>
      <c r="AJ31" s="123"/>
      <c r="AK31" s="123"/>
      <c r="AL31" s="123"/>
      <c r="AM31" s="160"/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 t="s">
        <v>204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400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206" t="s">
        <v>49</v>
      </c>
      <c r="K33" s="120">
        <v>450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>
        <v>200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200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200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400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/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400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200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>
        <v>200</v>
      </c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800</v>
      </c>
      <c r="X47" s="99"/>
      <c r="Y47" s="99"/>
      <c r="Z47" s="104">
        <v>204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500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>
        <v>25</v>
      </c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>
        <v>25</v>
      </c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 t="s">
        <v>201</v>
      </c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60</v>
      </c>
      <c r="T51" s="165">
        <f>85+25</f>
        <v>110</v>
      </c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157</v>
      </c>
      <c r="T52" s="169">
        <v>90</v>
      </c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158</v>
      </c>
      <c r="T53" s="170">
        <v>90</v>
      </c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24</v>
      </c>
      <c r="T54" s="171"/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>
        <v>800</v>
      </c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203</v>
      </c>
      <c r="B2" s="141"/>
      <c r="C2" s="5"/>
      <c r="D2" s="6"/>
      <c r="E2" s="7"/>
      <c r="F2" s="6"/>
      <c r="G2" s="8"/>
      <c r="H2" s="146" t="str">
        <f>A2</f>
        <v>Ngày 9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 t="s">
        <v>144</v>
      </c>
      <c r="I9" s="212">
        <v>13640</v>
      </c>
      <c r="J9" s="154"/>
      <c r="K9" s="211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 t="s">
        <v>145</v>
      </c>
      <c r="I10" s="213">
        <v>13640</v>
      </c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 t="s">
        <v>146</v>
      </c>
      <c r="I11" s="212">
        <v>13632</v>
      </c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 t="s">
        <v>147</v>
      </c>
      <c r="I12" s="213">
        <v>13632</v>
      </c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 t="s">
        <v>175</v>
      </c>
      <c r="I13" s="212">
        <v>500</v>
      </c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200"/>
      <c r="I14" s="214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66"/>
      <c r="I15" s="215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66"/>
      <c r="I16" s="215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200"/>
      <c r="I17" s="214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200"/>
      <c r="I18" s="214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66"/>
      <c r="I19" s="215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200"/>
      <c r="I20" s="214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66"/>
      <c r="I21" s="215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66"/>
      <c r="I22" s="215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200"/>
      <c r="I23" s="214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66"/>
      <c r="I24" s="215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200"/>
      <c r="I25" s="214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66"/>
      <c r="I26" s="215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208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208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20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208"/>
      <c r="J30" s="30"/>
      <c r="K30" s="38"/>
      <c r="L30" s="43"/>
    </row>
    <row r="31" spans="1:12">
      <c r="H31" s="50"/>
      <c r="I31" s="209"/>
      <c r="J31" s="37"/>
      <c r="K31" s="30"/>
      <c r="L31" s="46"/>
    </row>
    <row r="32" spans="1:12">
      <c r="H32" s="49"/>
      <c r="I32" s="208"/>
      <c r="J32" s="32"/>
      <c r="K32" s="30"/>
      <c r="L32" s="46"/>
    </row>
    <row r="33" spans="8:12">
      <c r="H33" s="50"/>
      <c r="I33" s="209"/>
      <c r="J33" s="37"/>
      <c r="K33" s="38"/>
      <c r="L33" s="43"/>
    </row>
    <row r="34" spans="8:12">
      <c r="H34" s="166"/>
      <c r="I34" s="208"/>
      <c r="J34" s="32"/>
      <c r="K34" s="30"/>
      <c r="L34" s="46"/>
    </row>
    <row r="35" spans="8:12">
      <c r="H35" s="50"/>
      <c r="I35" s="209"/>
      <c r="J35" s="37"/>
      <c r="K35" s="38"/>
      <c r="L35" s="43"/>
    </row>
    <row r="36" spans="8:12">
      <c r="H36" s="49"/>
      <c r="I36" s="208"/>
      <c r="J36" s="32"/>
      <c r="K36" s="30"/>
      <c r="L36" s="46"/>
    </row>
    <row r="37" spans="8:12">
      <c r="H37" s="50"/>
      <c r="I37" s="209"/>
      <c r="J37" s="37"/>
      <c r="K37" s="38"/>
      <c r="L37" s="43"/>
    </row>
    <row r="38" spans="8:12">
      <c r="H38" s="49"/>
      <c r="I38" s="208"/>
      <c r="J38" s="30"/>
      <c r="K38" s="30"/>
      <c r="L38" s="46"/>
    </row>
    <row r="39" spans="8:12">
      <c r="H39" s="50"/>
      <c r="I39" s="209"/>
      <c r="J39" s="37"/>
      <c r="K39" s="38"/>
      <c r="L39" s="43"/>
    </row>
    <row r="40" spans="8:12">
      <c r="H40" s="49"/>
      <c r="I40" s="208"/>
      <c r="J40" s="30"/>
      <c r="K40" s="30"/>
      <c r="L40" s="46"/>
    </row>
    <row r="41" spans="8:12">
      <c r="H41" s="50"/>
      <c r="I41" s="209"/>
      <c r="J41" s="37"/>
      <c r="K41" s="38"/>
      <c r="L41" s="43"/>
    </row>
    <row r="42" spans="8:12">
      <c r="H42" s="49"/>
      <c r="I42" s="208"/>
      <c r="J42" s="32"/>
      <c r="K42" s="30"/>
      <c r="L42" s="46"/>
    </row>
    <row r="43" spans="8:12">
      <c r="H43" s="166"/>
      <c r="I43" s="208"/>
      <c r="J43" s="32"/>
      <c r="K43" s="38"/>
      <c r="L43" s="43"/>
    </row>
    <row r="44" spans="8:12">
      <c r="H44" s="50"/>
      <c r="I44" s="209"/>
      <c r="J44" s="37"/>
      <c r="K44" s="30"/>
      <c r="L44" s="46"/>
    </row>
    <row r="45" spans="8:12">
      <c r="H45" s="49"/>
      <c r="I45" s="208"/>
      <c r="J45" s="32"/>
      <c r="K45" s="38"/>
      <c r="L45" s="43"/>
    </row>
    <row r="46" spans="8:12">
      <c r="H46" s="50"/>
      <c r="I46" s="209"/>
      <c r="J46" s="37"/>
      <c r="K46" s="30"/>
      <c r="L46" s="46"/>
    </row>
    <row r="47" spans="8:12">
      <c r="H47" s="50"/>
      <c r="I47" s="210"/>
      <c r="J47" s="38"/>
      <c r="K47" s="38"/>
      <c r="L47" s="43"/>
    </row>
    <row r="48" spans="8:12">
      <c r="H48" s="50"/>
      <c r="I48" s="210"/>
      <c r="J48" s="38"/>
      <c r="K48" s="38"/>
      <c r="L48" s="43"/>
    </row>
    <row r="49" spans="8:12">
      <c r="H49" s="50"/>
      <c r="I49" s="20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U132"/>
  <sheetViews>
    <sheetView topLeftCell="X1"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208</v>
      </c>
      <c r="B2" s="57"/>
      <c r="C2" s="58"/>
      <c r="D2" s="59"/>
      <c r="E2" s="59"/>
      <c r="F2" s="59"/>
      <c r="G2" s="59"/>
      <c r="H2" s="60"/>
      <c r="J2" s="56" t="str">
        <f>A2</f>
        <v>Ngày 10 tháng 8 năm 2016</v>
      </c>
      <c r="K2" s="57"/>
      <c r="L2" s="58"/>
      <c r="M2" s="59"/>
      <c r="N2" s="59"/>
      <c r="O2" s="59"/>
      <c r="P2" s="59"/>
      <c r="Q2" s="60"/>
      <c r="S2" s="56" t="str">
        <f>A2</f>
        <v>Ngày 10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10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23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700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900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 t="s">
        <v>212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200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700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900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900</v>
      </c>
      <c r="X9" s="109"/>
      <c r="Y9" s="107"/>
      <c r="Z9" s="108">
        <v>190</v>
      </c>
      <c r="AA9" s="109"/>
      <c r="AB9" s="110"/>
      <c r="AC9" s="103" t="s">
        <v>44</v>
      </c>
      <c r="AD9" s="71"/>
      <c r="AE9" s="71"/>
      <c r="AF9" s="71"/>
      <c r="AG9" s="71">
        <v>200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1300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>
        <v>200</v>
      </c>
      <c r="AA10" s="90"/>
      <c r="AB10" s="91"/>
      <c r="AC10" s="103" t="s">
        <v>40</v>
      </c>
      <c r="AD10" s="81">
        <v>500</v>
      </c>
      <c r="AE10" s="71"/>
      <c r="AF10" s="71"/>
      <c r="AG10" s="111">
        <v>100</v>
      </c>
      <c r="AH10" s="71"/>
      <c r="AI10" s="71"/>
      <c r="AJ10" s="81"/>
      <c r="AK10" s="71"/>
      <c r="AL10" s="71"/>
      <c r="AM10" s="81"/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1800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 t="s">
        <v>210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2600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2000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2200</v>
      </c>
      <c r="X12" s="113"/>
      <c r="Y12" s="90"/>
      <c r="Z12" s="111">
        <v>120</v>
      </c>
      <c r="AA12" s="113"/>
      <c r="AB12" s="91"/>
      <c r="AC12" s="105" t="s">
        <v>112</v>
      </c>
      <c r="AD12" s="81"/>
      <c r="AE12" s="71"/>
      <c r="AF12" s="71"/>
      <c r="AG12" s="81">
        <v>200</v>
      </c>
      <c r="AH12" s="71"/>
      <c r="AI12" s="71"/>
      <c r="AJ12" s="81"/>
      <c r="AK12" s="71"/>
      <c r="AL12" s="71"/>
      <c r="AM12" s="81"/>
      <c r="AN12" s="71"/>
      <c r="AO12" s="71"/>
      <c r="AP12" s="81"/>
      <c r="AQ12" s="71"/>
      <c r="AR12" s="71"/>
      <c r="AS12" s="81">
        <v>600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900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1000</v>
      </c>
      <c r="X13" s="101"/>
      <c r="Y13" s="99"/>
      <c r="Z13" s="104">
        <v>650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900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1000</v>
      </c>
      <c r="X14" s="113"/>
      <c r="Y14" s="90"/>
      <c r="Z14" s="104">
        <v>650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900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1000</v>
      </c>
      <c r="X15" s="99"/>
      <c r="Y15" s="99"/>
      <c r="Z15" s="104">
        <v>650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900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1000</v>
      </c>
      <c r="X16" s="90"/>
      <c r="Y16" s="90"/>
      <c r="Z16" s="104">
        <v>650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900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700</v>
      </c>
      <c r="X17" s="101"/>
      <c r="Y17" s="99"/>
      <c r="Z17" s="104">
        <v>650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400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1000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500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23200</v>
      </c>
      <c r="C19" s="71"/>
      <c r="D19" s="71"/>
      <c r="E19" s="120"/>
      <c r="F19" s="71"/>
      <c r="G19" s="71"/>
      <c r="H19" s="102"/>
      <c r="J19" s="121" t="s">
        <v>113</v>
      </c>
      <c r="K19" s="120">
        <v>15500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15400</v>
      </c>
      <c r="X19" s="99"/>
      <c r="Y19" s="99"/>
      <c r="Z19" s="104">
        <v>10430</v>
      </c>
      <c r="AA19" s="99"/>
      <c r="AB19" s="102"/>
      <c r="AC19" s="121" t="s">
        <v>113</v>
      </c>
      <c r="AD19" s="71"/>
      <c r="AE19" s="71"/>
      <c r="AF19" s="71"/>
      <c r="AG19" s="71">
        <v>3400</v>
      </c>
      <c r="AH19" s="71"/>
      <c r="AI19" s="71"/>
      <c r="AJ19" s="71"/>
      <c r="AK19" s="71"/>
      <c r="AL19" s="71"/>
      <c r="AM19" s="71"/>
      <c r="AN19" s="71"/>
      <c r="AO19" s="71"/>
      <c r="AP19" s="203">
        <v>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1400</v>
      </c>
      <c r="C20" s="81"/>
      <c r="D20" s="81"/>
      <c r="E20" s="119"/>
      <c r="F20" s="81"/>
      <c r="G20" s="81"/>
      <c r="H20" s="91"/>
      <c r="J20" s="103" t="s">
        <v>80</v>
      </c>
      <c r="K20" s="119">
        <v>1800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>
        <v>200</v>
      </c>
      <c r="X20" s="113"/>
      <c r="Y20" s="90"/>
      <c r="Z20" s="111">
        <v>380</v>
      </c>
      <c r="AA20" s="113"/>
      <c r="AB20" s="91"/>
      <c r="AC20" s="103" t="s">
        <v>80</v>
      </c>
      <c r="AD20" s="81"/>
      <c r="AE20" s="71"/>
      <c r="AF20" s="71"/>
      <c r="AG20" s="81">
        <v>400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1400</v>
      </c>
      <c r="C21" s="71"/>
      <c r="D21" s="71"/>
      <c r="E21" s="120"/>
      <c r="F21" s="71"/>
      <c r="G21" s="71"/>
      <c r="H21" s="102"/>
      <c r="J21" s="105" t="s">
        <v>56</v>
      </c>
      <c r="K21" s="120">
        <v>1800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>
        <v>100</v>
      </c>
      <c r="X21" s="99"/>
      <c r="Y21" s="99"/>
      <c r="Z21" s="104">
        <v>190</v>
      </c>
      <c r="AA21" s="101"/>
      <c r="AB21" s="102"/>
      <c r="AC21" s="105" t="s">
        <v>56</v>
      </c>
      <c r="AD21" s="123"/>
      <c r="AE21" s="123"/>
      <c r="AF21" s="123"/>
      <c r="AG21" s="123">
        <v>400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1400</v>
      </c>
      <c r="C22" s="81"/>
      <c r="D22" s="81"/>
      <c r="E22" s="119"/>
      <c r="F22" s="81"/>
      <c r="G22" s="81"/>
      <c r="H22" s="91"/>
      <c r="J22" s="105" t="s">
        <v>1</v>
      </c>
      <c r="K22" s="119">
        <v>1800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400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2600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1000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/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1000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/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500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 t="s">
        <v>211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2150</v>
      </c>
      <c r="U26" s="113"/>
      <c r="V26" s="90"/>
      <c r="W26" s="111" t="s">
        <v>213</v>
      </c>
      <c r="X26" s="113"/>
      <c r="Y26" s="90"/>
      <c r="Z26" s="111"/>
      <c r="AA26" s="90"/>
      <c r="AB26" s="91"/>
      <c r="AC26" s="103" t="s">
        <v>73</v>
      </c>
      <c r="AD26" s="125">
        <v>500</v>
      </c>
      <c r="AE26" s="123"/>
      <c r="AF26" s="123"/>
      <c r="AG26" s="125"/>
      <c r="AH26" s="123"/>
      <c r="AI26" s="123"/>
      <c r="AJ26" s="125"/>
      <c r="AK26" s="123"/>
      <c r="AL26" s="123"/>
      <c r="AM26" s="159"/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200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500</v>
      </c>
      <c r="P27" s="99"/>
      <c r="Q27" s="102"/>
      <c r="S27" s="103" t="s">
        <v>23</v>
      </c>
      <c r="T27" s="71"/>
      <c r="U27" s="101"/>
      <c r="V27" s="99"/>
      <c r="W27" s="71">
        <v>200</v>
      </c>
      <c r="X27" s="99"/>
      <c r="Y27" s="99"/>
      <c r="Z27" s="104">
        <v>380</v>
      </c>
      <c r="AA27" s="101"/>
      <c r="AB27" s="102"/>
      <c r="AC27" s="71" t="s">
        <v>9</v>
      </c>
      <c r="AD27" s="123"/>
      <c r="AE27" s="123"/>
      <c r="AF27" s="123"/>
      <c r="AG27" s="123">
        <v>100</v>
      </c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300</v>
      </c>
      <c r="P28" s="81"/>
      <c r="Q28" s="91"/>
      <c r="S28" s="105" t="s">
        <v>78</v>
      </c>
      <c r="T28" s="81"/>
      <c r="U28" s="113"/>
      <c r="V28" s="90"/>
      <c r="W28" s="81">
        <v>200</v>
      </c>
      <c r="X28" s="90"/>
      <c r="Y28" s="90"/>
      <c r="Z28" s="111">
        <v>380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380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>
        <v>300</v>
      </c>
      <c r="C30" s="81"/>
      <c r="D30" s="81"/>
      <c r="E30" s="71" t="s">
        <v>89</v>
      </c>
      <c r="F30" s="173"/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>
        <v>200</v>
      </c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1400</v>
      </c>
      <c r="C31" s="71"/>
      <c r="D31" s="71"/>
      <c r="E31" s="71"/>
      <c r="F31" s="71"/>
      <c r="G31" s="71"/>
      <c r="H31" s="102"/>
      <c r="J31" s="206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>
        <v>200</v>
      </c>
      <c r="AH31" s="123"/>
      <c r="AI31" s="123"/>
      <c r="AJ31" s="123"/>
      <c r="AK31" s="123"/>
      <c r="AL31" s="123"/>
      <c r="AM31" s="225">
        <v>3</v>
      </c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400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206" t="s">
        <v>49</v>
      </c>
      <c r="K33" s="120">
        <v>450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>
        <v>200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300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300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600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300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300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300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300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/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700</v>
      </c>
      <c r="X47" s="99"/>
      <c r="Y47" s="99"/>
      <c r="Z47" s="104">
        <v>250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500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/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/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 t="s">
        <v>209</v>
      </c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60</v>
      </c>
      <c r="T51" s="165">
        <f>85+8</f>
        <v>93</v>
      </c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157</v>
      </c>
      <c r="T52" s="169"/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158</v>
      </c>
      <c r="T53" s="170"/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24</v>
      </c>
      <c r="T54" s="171"/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>
        <v>800</v>
      </c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AA32" sqref="AA32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208</v>
      </c>
      <c r="B2" s="141"/>
      <c r="C2" s="5"/>
      <c r="D2" s="6"/>
      <c r="E2" s="7"/>
      <c r="F2" s="6"/>
      <c r="G2" s="8"/>
      <c r="H2" s="146" t="str">
        <f>A2</f>
        <v>Ngày 10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/>
      <c r="I9" s="212"/>
      <c r="J9" s="154"/>
      <c r="K9" s="211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/>
      <c r="I10" s="213"/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/>
      <c r="I11" s="212"/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/>
      <c r="I12" s="213"/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/>
      <c r="I13" s="212"/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200"/>
      <c r="I14" s="214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66"/>
      <c r="I15" s="215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66"/>
      <c r="I16" s="215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200"/>
      <c r="I17" s="214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200"/>
      <c r="I18" s="214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66"/>
      <c r="I19" s="215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200"/>
      <c r="I20" s="214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66"/>
      <c r="I21" s="215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66"/>
      <c r="I22" s="215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200"/>
      <c r="I23" s="214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66"/>
      <c r="I24" s="215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200"/>
      <c r="I25" s="214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66"/>
      <c r="I26" s="215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208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208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20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208"/>
      <c r="J30" s="30"/>
      <c r="K30" s="38"/>
      <c r="L30" s="43"/>
    </row>
    <row r="31" spans="1:12">
      <c r="H31" s="50"/>
      <c r="I31" s="209"/>
      <c r="J31" s="37"/>
      <c r="K31" s="30"/>
      <c r="L31" s="46"/>
    </row>
    <row r="32" spans="1:12">
      <c r="H32" s="49"/>
      <c r="I32" s="208"/>
      <c r="J32" s="32"/>
      <c r="K32" s="30"/>
      <c r="L32" s="46"/>
    </row>
    <row r="33" spans="8:12">
      <c r="H33" s="50"/>
      <c r="I33" s="209"/>
      <c r="J33" s="37"/>
      <c r="K33" s="38"/>
      <c r="L33" s="43"/>
    </row>
    <row r="34" spans="8:12">
      <c r="H34" s="166"/>
      <c r="I34" s="208"/>
      <c r="J34" s="32"/>
      <c r="K34" s="30"/>
      <c r="L34" s="46"/>
    </row>
    <row r="35" spans="8:12">
      <c r="H35" s="50"/>
      <c r="I35" s="209"/>
      <c r="J35" s="37"/>
      <c r="K35" s="38"/>
      <c r="L35" s="43"/>
    </row>
    <row r="36" spans="8:12">
      <c r="H36" s="49"/>
      <c r="I36" s="208"/>
      <c r="J36" s="32"/>
      <c r="K36" s="30"/>
      <c r="L36" s="46"/>
    </row>
    <row r="37" spans="8:12">
      <c r="H37" s="50"/>
      <c r="I37" s="209"/>
      <c r="J37" s="37"/>
      <c r="K37" s="38"/>
      <c r="L37" s="43"/>
    </row>
    <row r="38" spans="8:12">
      <c r="H38" s="49"/>
      <c r="I38" s="208"/>
      <c r="J38" s="30"/>
      <c r="K38" s="30"/>
      <c r="L38" s="46"/>
    </row>
    <row r="39" spans="8:12">
      <c r="H39" s="50"/>
      <c r="I39" s="209"/>
      <c r="J39" s="37"/>
      <c r="K39" s="38"/>
      <c r="L39" s="43"/>
    </row>
    <row r="40" spans="8:12">
      <c r="H40" s="49"/>
      <c r="I40" s="208"/>
      <c r="J40" s="30"/>
      <c r="K40" s="30"/>
      <c r="L40" s="46"/>
    </row>
    <row r="41" spans="8:12">
      <c r="H41" s="50"/>
      <c r="I41" s="209"/>
      <c r="J41" s="37"/>
      <c r="K41" s="38"/>
      <c r="L41" s="43"/>
    </row>
    <row r="42" spans="8:12">
      <c r="H42" s="49"/>
      <c r="I42" s="208"/>
      <c r="J42" s="32"/>
      <c r="K42" s="30"/>
      <c r="L42" s="46"/>
    </row>
    <row r="43" spans="8:12">
      <c r="H43" s="166"/>
      <c r="I43" s="208"/>
      <c r="J43" s="32"/>
      <c r="K43" s="38"/>
      <c r="L43" s="43"/>
    </row>
    <row r="44" spans="8:12">
      <c r="H44" s="50"/>
      <c r="I44" s="209"/>
      <c r="J44" s="37"/>
      <c r="K44" s="30"/>
      <c r="L44" s="46"/>
    </row>
    <row r="45" spans="8:12">
      <c r="H45" s="49"/>
      <c r="I45" s="208"/>
      <c r="J45" s="32"/>
      <c r="K45" s="38"/>
      <c r="L45" s="43"/>
    </row>
    <row r="46" spans="8:12">
      <c r="H46" s="50"/>
      <c r="I46" s="209"/>
      <c r="J46" s="37"/>
      <c r="K46" s="30"/>
      <c r="L46" s="46"/>
    </row>
    <row r="47" spans="8:12">
      <c r="H47" s="50"/>
      <c r="I47" s="210"/>
      <c r="J47" s="38"/>
      <c r="K47" s="38"/>
      <c r="L47" s="43"/>
    </row>
    <row r="48" spans="8:12">
      <c r="H48" s="50"/>
      <c r="I48" s="210"/>
      <c r="J48" s="38"/>
      <c r="K48" s="38"/>
      <c r="L48" s="43"/>
    </row>
    <row r="49" spans="8:12">
      <c r="H49" s="50"/>
      <c r="I49" s="20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U132"/>
  <sheetViews>
    <sheetView zoomScale="77" zoomScaleNormal="77" workbookViewId="0">
      <pane ySplit="5" topLeftCell="A6" activePane="bottomLeft" state="frozen"/>
      <selection activeCell="AA32" sqref="AA32"/>
      <selection pane="bottomLeft" activeCell="AA32" sqref="AA32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214</v>
      </c>
      <c r="B2" s="57"/>
      <c r="C2" s="58"/>
      <c r="D2" s="59"/>
      <c r="E2" s="59"/>
      <c r="F2" s="59"/>
      <c r="G2" s="59"/>
      <c r="H2" s="60"/>
      <c r="J2" s="56" t="str">
        <f>A2</f>
        <v>Ngày 11 tháng 8 năm 2016</v>
      </c>
      <c r="K2" s="57"/>
      <c r="L2" s="58"/>
      <c r="M2" s="59"/>
      <c r="N2" s="59"/>
      <c r="O2" s="59"/>
      <c r="P2" s="59"/>
      <c r="Q2" s="60"/>
      <c r="S2" s="56" t="str">
        <f>A2</f>
        <v>Ngày 11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11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24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900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2150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200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900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800</v>
      </c>
      <c r="X9" s="109"/>
      <c r="Y9" s="107"/>
      <c r="Z9" s="108">
        <v>100</v>
      </c>
      <c r="AA9" s="109"/>
      <c r="AB9" s="110"/>
      <c r="AC9" s="103" t="s">
        <v>44</v>
      </c>
      <c r="AD9" s="71"/>
      <c r="AE9" s="71"/>
      <c r="AF9" s="71"/>
      <c r="AG9" s="71">
        <v>200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>
        <v>200</v>
      </c>
      <c r="AA10" s="90"/>
      <c r="AB10" s="91"/>
      <c r="AC10" s="103" t="s">
        <v>40</v>
      </c>
      <c r="AD10" s="81">
        <v>500</v>
      </c>
      <c r="AE10" s="71"/>
      <c r="AF10" s="71"/>
      <c r="AG10" s="111">
        <v>100</v>
      </c>
      <c r="AH10" s="71"/>
      <c r="AI10" s="71"/>
      <c r="AJ10" s="81"/>
      <c r="AK10" s="71"/>
      <c r="AL10" s="71"/>
      <c r="AM10" s="81">
        <v>200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1800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>
        <v>400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2000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2400</v>
      </c>
      <c r="X12" s="113"/>
      <c r="Y12" s="90"/>
      <c r="Z12" s="111">
        <v>300</v>
      </c>
      <c r="AA12" s="113"/>
      <c r="AB12" s="91"/>
      <c r="AC12" s="105" t="s">
        <v>112</v>
      </c>
      <c r="AD12" s="81"/>
      <c r="AE12" s="71"/>
      <c r="AF12" s="71"/>
      <c r="AG12" s="81">
        <v>200</v>
      </c>
      <c r="AH12" s="71"/>
      <c r="AI12" s="71"/>
      <c r="AJ12" s="81"/>
      <c r="AK12" s="71"/>
      <c r="AL12" s="71"/>
      <c r="AM12" s="81">
        <v>400</v>
      </c>
      <c r="AN12" s="71"/>
      <c r="AO12" s="71"/>
      <c r="AP12" s="81"/>
      <c r="AQ12" s="71"/>
      <c r="AR12" s="71"/>
      <c r="AS12" s="81">
        <v>200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900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1000</v>
      </c>
      <c r="X13" s="101"/>
      <c r="Y13" s="99"/>
      <c r="Z13" s="104">
        <v>650</v>
      </c>
      <c r="AA13" s="101"/>
      <c r="AB13" s="102"/>
      <c r="AC13" s="103" t="s">
        <v>51</v>
      </c>
      <c r="AD13" s="71"/>
      <c r="AE13" s="71"/>
      <c r="AF13" s="71"/>
      <c r="AG13" s="104" t="s">
        <v>137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900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1000</v>
      </c>
      <c r="X14" s="113"/>
      <c r="Y14" s="90"/>
      <c r="Z14" s="104">
        <v>650</v>
      </c>
      <c r="AA14" s="113"/>
      <c r="AB14" s="91"/>
      <c r="AC14" s="105" t="s">
        <v>52</v>
      </c>
      <c r="AD14" s="81"/>
      <c r="AE14" s="71"/>
      <c r="AF14" s="71"/>
      <c r="AG14" s="111" t="s">
        <v>137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900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1000</v>
      </c>
      <c r="X15" s="99"/>
      <c r="Y15" s="99"/>
      <c r="Z15" s="104">
        <v>650</v>
      </c>
      <c r="AA15" s="101"/>
      <c r="AB15" s="102"/>
      <c r="AC15" s="105" t="s">
        <v>61</v>
      </c>
      <c r="AD15" s="71"/>
      <c r="AE15" s="71"/>
      <c r="AF15" s="71"/>
      <c r="AG15" s="104">
        <v>300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900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1000</v>
      </c>
      <c r="X16" s="90"/>
      <c r="Y16" s="90"/>
      <c r="Z16" s="104">
        <v>650</v>
      </c>
      <c r="AA16" s="90"/>
      <c r="AB16" s="91"/>
      <c r="AC16" s="105" t="s">
        <v>62</v>
      </c>
      <c r="AD16" s="81"/>
      <c r="AE16" s="71"/>
      <c r="AF16" s="71"/>
      <c r="AG16" s="111" t="s">
        <v>137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900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700</v>
      </c>
      <c r="X17" s="101"/>
      <c r="Y17" s="99"/>
      <c r="Z17" s="104">
        <v>650</v>
      </c>
      <c r="AA17" s="101"/>
      <c r="AB17" s="102"/>
      <c r="AC17" s="105" t="s">
        <v>74</v>
      </c>
      <c r="AD17" s="71"/>
      <c r="AE17" s="71"/>
      <c r="AF17" s="71"/>
      <c r="AG17" s="104">
        <v>300</v>
      </c>
      <c r="AH17" s="71"/>
      <c r="AI17" s="71"/>
      <c r="AJ17" s="71"/>
      <c r="AK17" s="71"/>
      <c r="AL17" s="71"/>
      <c r="AM17" s="71">
        <v>200</v>
      </c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1000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500</v>
      </c>
      <c r="AE18" s="71"/>
      <c r="AF18" s="71"/>
      <c r="AG18" s="81">
        <v>300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15500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16200</v>
      </c>
      <c r="X19" s="99"/>
      <c r="Y19" s="99"/>
      <c r="Z19" s="104">
        <v>11150</v>
      </c>
      <c r="AA19" s="99"/>
      <c r="AB19" s="102"/>
      <c r="AC19" s="121" t="s">
        <v>113</v>
      </c>
      <c r="AD19" s="71"/>
      <c r="AE19" s="71"/>
      <c r="AF19" s="71"/>
      <c r="AG19" s="71">
        <v>3400</v>
      </c>
      <c r="AH19" s="71"/>
      <c r="AI19" s="71"/>
      <c r="AJ19" s="71"/>
      <c r="AK19" s="71"/>
      <c r="AL19" s="71"/>
      <c r="AM19" s="71"/>
      <c r="AN19" s="71"/>
      <c r="AO19" s="71"/>
      <c r="AP19" s="203">
        <v>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1800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/>
      <c r="X20" s="113"/>
      <c r="Y20" s="90"/>
      <c r="Z20" s="111">
        <v>200</v>
      </c>
      <c r="AA20" s="113"/>
      <c r="AB20" s="91"/>
      <c r="AC20" s="103" t="s">
        <v>80</v>
      </c>
      <c r="AD20" s="81"/>
      <c r="AE20" s="71"/>
      <c r="AF20" s="71"/>
      <c r="AG20" s="81">
        <v>400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1800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/>
      <c r="X21" s="99"/>
      <c r="Y21" s="99"/>
      <c r="Z21" s="104">
        <v>100</v>
      </c>
      <c r="AA21" s="101"/>
      <c r="AB21" s="102"/>
      <c r="AC21" s="105" t="s">
        <v>56</v>
      </c>
      <c r="AD21" s="123"/>
      <c r="AE21" s="123"/>
      <c r="AF21" s="123"/>
      <c r="AG21" s="123">
        <v>400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1800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400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1000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>
        <v>100</v>
      </c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1000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>
        <v>100</v>
      </c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500</v>
      </c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2150</v>
      </c>
      <c r="U26" s="113"/>
      <c r="V26" s="90"/>
      <c r="W26" s="111">
        <v>1000</v>
      </c>
      <c r="X26" s="113"/>
      <c r="Y26" s="90"/>
      <c r="Z26" s="111"/>
      <c r="AA26" s="90"/>
      <c r="AB26" s="91"/>
      <c r="AC26" s="103" t="s">
        <v>73</v>
      </c>
      <c r="AD26" s="125">
        <v>500</v>
      </c>
      <c r="AE26" s="123"/>
      <c r="AF26" s="123"/>
      <c r="AG26" s="125"/>
      <c r="AH26" s="123"/>
      <c r="AI26" s="123"/>
      <c r="AJ26" s="125"/>
      <c r="AK26" s="123"/>
      <c r="AL26" s="123"/>
      <c r="AM26" s="159" t="s">
        <v>150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100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600</v>
      </c>
      <c r="P27" s="99"/>
      <c r="Q27" s="102"/>
      <c r="S27" s="103" t="s">
        <v>23</v>
      </c>
      <c r="T27" s="71"/>
      <c r="U27" s="101"/>
      <c r="V27" s="99"/>
      <c r="W27" s="71"/>
      <c r="X27" s="99"/>
      <c r="Y27" s="99"/>
      <c r="Z27" s="104">
        <v>200</v>
      </c>
      <c r="AA27" s="101"/>
      <c r="AB27" s="102"/>
      <c r="AC27" s="71" t="s">
        <v>9</v>
      </c>
      <c r="AD27" s="123"/>
      <c r="AE27" s="123"/>
      <c r="AF27" s="123"/>
      <c r="AG27" s="123">
        <v>100</v>
      </c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/>
      <c r="X28" s="90"/>
      <c r="Y28" s="90"/>
      <c r="Z28" s="111">
        <v>200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200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/>
      <c r="C30" s="81"/>
      <c r="D30" s="81"/>
      <c r="E30" s="71" t="s">
        <v>89</v>
      </c>
      <c r="F30" s="173">
        <v>300</v>
      </c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/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206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>
        <v>200</v>
      </c>
      <c r="AH31" s="123"/>
      <c r="AI31" s="123"/>
      <c r="AJ31" s="123"/>
      <c r="AK31" s="123"/>
      <c r="AL31" s="123"/>
      <c r="AM31" s="225">
        <v>400</v>
      </c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600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206" t="s">
        <v>49</v>
      </c>
      <c r="K33" s="120">
        <v>450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 t="s">
        <v>150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200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200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400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200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200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200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200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/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700</v>
      </c>
      <c r="X47" s="99"/>
      <c r="Y47" s="99"/>
      <c r="Z47" s="104">
        <v>250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500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/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/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 t="s">
        <v>209</v>
      </c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60</v>
      </c>
      <c r="T51" s="165"/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157</v>
      </c>
      <c r="T52" s="169"/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158</v>
      </c>
      <c r="T53" s="170"/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24</v>
      </c>
      <c r="T54" s="171"/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B9" sqref="B9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214</v>
      </c>
      <c r="B2" s="141"/>
      <c r="C2" s="5"/>
      <c r="D2" s="6"/>
      <c r="E2" s="7"/>
      <c r="F2" s="6"/>
      <c r="G2" s="8"/>
      <c r="H2" s="146" t="str">
        <f>A2</f>
        <v>Ngày 11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/>
      <c r="I9" s="212"/>
      <c r="J9" s="154"/>
      <c r="K9" s="211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/>
      <c r="I10" s="213"/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/>
      <c r="I11" s="212"/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/>
      <c r="I12" s="213"/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/>
      <c r="I13" s="212"/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200"/>
      <c r="I14" s="214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66"/>
      <c r="I15" s="215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66"/>
      <c r="I16" s="215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200"/>
      <c r="I17" s="214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200"/>
      <c r="I18" s="214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66"/>
      <c r="I19" s="215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200"/>
      <c r="I20" s="214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66"/>
      <c r="I21" s="215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66"/>
      <c r="I22" s="215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200"/>
      <c r="I23" s="214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66"/>
      <c r="I24" s="215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200"/>
      <c r="I25" s="214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66"/>
      <c r="I26" s="215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208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208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20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208"/>
      <c r="J30" s="30"/>
      <c r="K30" s="38"/>
      <c r="L30" s="43"/>
    </row>
    <row r="31" spans="1:12">
      <c r="H31" s="50"/>
      <c r="I31" s="209"/>
      <c r="J31" s="37"/>
      <c r="K31" s="30"/>
      <c r="L31" s="46"/>
    </row>
    <row r="32" spans="1:12">
      <c r="H32" s="49"/>
      <c r="I32" s="208"/>
      <c r="J32" s="32"/>
      <c r="K32" s="30"/>
      <c r="L32" s="46"/>
    </row>
    <row r="33" spans="8:12">
      <c r="H33" s="50"/>
      <c r="I33" s="209"/>
      <c r="J33" s="37"/>
      <c r="K33" s="38"/>
      <c r="L33" s="43"/>
    </row>
    <row r="34" spans="8:12">
      <c r="H34" s="166"/>
      <c r="I34" s="208"/>
      <c r="J34" s="32"/>
      <c r="K34" s="30"/>
      <c r="L34" s="46"/>
    </row>
    <row r="35" spans="8:12">
      <c r="H35" s="50"/>
      <c r="I35" s="209"/>
      <c r="J35" s="37"/>
      <c r="K35" s="38"/>
      <c r="L35" s="43"/>
    </row>
    <row r="36" spans="8:12">
      <c r="H36" s="49"/>
      <c r="I36" s="208"/>
      <c r="J36" s="32"/>
      <c r="K36" s="30"/>
      <c r="L36" s="46"/>
    </row>
    <row r="37" spans="8:12">
      <c r="H37" s="50"/>
      <c r="I37" s="209"/>
      <c r="J37" s="37"/>
      <c r="K37" s="38"/>
      <c r="L37" s="43"/>
    </row>
    <row r="38" spans="8:12">
      <c r="H38" s="49"/>
      <c r="I38" s="208"/>
      <c r="J38" s="30"/>
      <c r="K38" s="30"/>
      <c r="L38" s="46"/>
    </row>
    <row r="39" spans="8:12">
      <c r="H39" s="50"/>
      <c r="I39" s="209"/>
      <c r="J39" s="37"/>
      <c r="K39" s="38"/>
      <c r="L39" s="43"/>
    </row>
    <row r="40" spans="8:12">
      <c r="H40" s="49"/>
      <c r="I40" s="208"/>
      <c r="J40" s="30"/>
      <c r="K40" s="30"/>
      <c r="L40" s="46"/>
    </row>
    <row r="41" spans="8:12">
      <c r="H41" s="50"/>
      <c r="I41" s="209"/>
      <c r="J41" s="37"/>
      <c r="K41" s="38"/>
      <c r="L41" s="43"/>
    </row>
    <row r="42" spans="8:12">
      <c r="H42" s="49"/>
      <c r="I42" s="208"/>
      <c r="J42" s="32"/>
      <c r="K42" s="30"/>
      <c r="L42" s="46"/>
    </row>
    <row r="43" spans="8:12">
      <c r="H43" s="166"/>
      <c r="I43" s="208"/>
      <c r="J43" s="32"/>
      <c r="K43" s="38"/>
      <c r="L43" s="43"/>
    </row>
    <row r="44" spans="8:12">
      <c r="H44" s="50"/>
      <c r="I44" s="209"/>
      <c r="J44" s="37"/>
      <c r="K44" s="30"/>
      <c r="L44" s="46"/>
    </row>
    <row r="45" spans="8:12">
      <c r="H45" s="49"/>
      <c r="I45" s="208"/>
      <c r="J45" s="32"/>
      <c r="K45" s="38"/>
      <c r="L45" s="43"/>
    </row>
    <row r="46" spans="8:12">
      <c r="H46" s="50"/>
      <c r="I46" s="209"/>
      <c r="J46" s="37"/>
      <c r="K46" s="30"/>
      <c r="L46" s="46"/>
    </row>
    <row r="47" spans="8:12">
      <c r="H47" s="50"/>
      <c r="I47" s="210"/>
      <c r="J47" s="38"/>
      <c r="K47" s="38"/>
      <c r="L47" s="43"/>
    </row>
    <row r="48" spans="8:12">
      <c r="H48" s="50"/>
      <c r="I48" s="210"/>
      <c r="J48" s="38"/>
      <c r="K48" s="38"/>
      <c r="L48" s="43"/>
    </row>
    <row r="49" spans="8:12">
      <c r="H49" s="50"/>
      <c r="I49" s="20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U132"/>
  <sheetViews>
    <sheetView topLeftCell="O1" zoomScale="77" zoomScaleNormal="77" workbookViewId="0">
      <pane ySplit="5" topLeftCell="A6" activePane="bottomLeft" state="frozen"/>
      <selection activeCell="B9" sqref="B9"/>
      <selection pane="bottomLeft" activeCell="B9" sqref="B9"/>
    </sheetView>
  </sheetViews>
  <sheetFormatPr defaultRowHeight="12.75"/>
  <cols>
    <col min="1" max="1" width="20.85546875" style="61" customWidth="1"/>
    <col min="2" max="2" width="10" style="61" customWidth="1"/>
    <col min="3" max="4" width="9.140625" style="61" customWidth="1"/>
    <col min="5" max="5" width="19.140625" style="61" customWidth="1"/>
    <col min="6" max="6" width="9.140625" style="61"/>
    <col min="7" max="7" width="9.140625" style="61" customWidth="1"/>
    <col min="8" max="8" width="8" style="61" customWidth="1"/>
    <col min="9" max="9" width="1.5703125" style="61" customWidth="1"/>
    <col min="10" max="10" width="19.42578125" style="61" customWidth="1"/>
    <col min="11" max="11" width="12" style="61" customWidth="1"/>
    <col min="12" max="12" width="6.7109375" style="61" customWidth="1"/>
    <col min="13" max="13" width="7.7109375" style="61" customWidth="1"/>
    <col min="14" max="14" width="21.42578125" style="61" customWidth="1"/>
    <col min="15" max="15" width="9.28515625" style="61" customWidth="1"/>
    <col min="16" max="16" width="7.5703125" style="61" customWidth="1"/>
    <col min="17" max="17" width="7.140625" style="61" customWidth="1"/>
    <col min="18" max="18" width="2.85546875" style="61" customWidth="1"/>
    <col min="19" max="19" width="18.5703125" style="61" customWidth="1"/>
    <col min="20" max="20" width="9.140625" style="61" customWidth="1"/>
    <col min="21" max="21" width="8.140625" style="61" customWidth="1"/>
    <col min="22" max="22" width="6.5703125" style="61" customWidth="1"/>
    <col min="23" max="23" width="9.5703125" style="61" customWidth="1"/>
    <col min="24" max="24" width="8.140625" style="61" customWidth="1"/>
    <col min="25" max="25" width="6.5703125" style="61" customWidth="1"/>
    <col min="26" max="26" width="9.5703125" style="61" customWidth="1"/>
    <col min="27" max="27" width="5.7109375" style="61" customWidth="1"/>
    <col min="28" max="28" width="6.5703125" style="61" customWidth="1"/>
    <col min="29" max="29" width="25.140625" style="61" customWidth="1"/>
    <col min="30" max="30" width="9.5703125" style="61" customWidth="1"/>
    <col min="31" max="32" width="4.5703125" style="61" hidden="1" customWidth="1"/>
    <col min="33" max="33" width="11.5703125" style="61" customWidth="1"/>
    <col min="34" max="35" width="4.5703125" style="61" hidden="1" customWidth="1"/>
    <col min="36" max="36" width="6.42578125" style="61" customWidth="1"/>
    <col min="37" max="38" width="4.42578125" style="61" hidden="1" customWidth="1"/>
    <col min="39" max="39" width="10.85546875" style="61" customWidth="1"/>
    <col min="40" max="40" width="4.5703125" style="61" hidden="1" customWidth="1"/>
    <col min="41" max="41" width="4.7109375" style="61" hidden="1" customWidth="1"/>
    <col min="42" max="42" width="9.7109375" style="61" customWidth="1"/>
    <col min="43" max="44" width="4.5703125" style="61" hidden="1" customWidth="1"/>
    <col min="45" max="16384" width="9.140625" style="61"/>
  </cols>
  <sheetData>
    <row r="1" spans="1:151" s="52" customFormat="1" ht="19.5" customHeight="1" thickBot="1">
      <c r="A1" s="954" t="s">
        <v>111</v>
      </c>
      <c r="B1" s="955"/>
      <c r="C1" s="955"/>
      <c r="D1" s="955"/>
      <c r="E1" s="955"/>
      <c r="F1" s="955"/>
      <c r="G1" s="955"/>
      <c r="H1" s="956"/>
      <c r="J1" s="957" t="str">
        <f>A1</f>
        <v>BẢNG KÊ XUẤT HÀNG THÁNG 07 NĂM 2016</v>
      </c>
      <c r="K1" s="958"/>
      <c r="L1" s="958"/>
      <c r="M1" s="958"/>
      <c r="N1" s="958"/>
      <c r="O1" s="958"/>
      <c r="P1" s="958"/>
      <c r="Q1" s="959"/>
      <c r="S1" s="957" t="str">
        <f>A1</f>
        <v>BẢNG KÊ XUẤT HÀNG THÁNG 07 NĂM 2016</v>
      </c>
      <c r="T1" s="958"/>
      <c r="U1" s="958"/>
      <c r="V1" s="958"/>
      <c r="W1" s="958"/>
      <c r="X1" s="958"/>
      <c r="Y1" s="958"/>
      <c r="Z1" s="958"/>
      <c r="AA1" s="958"/>
      <c r="AB1" s="958"/>
      <c r="AC1" s="960" t="str">
        <f>A1</f>
        <v>BẢNG KÊ XUẤT HÀNG THÁNG 07 NĂM 2016</v>
      </c>
      <c r="AD1" s="960"/>
      <c r="AE1" s="960"/>
      <c r="AF1" s="960"/>
      <c r="AG1" s="960"/>
      <c r="AH1" s="960"/>
      <c r="AI1" s="960"/>
      <c r="AJ1" s="960"/>
      <c r="AK1" s="960"/>
      <c r="AL1" s="960"/>
      <c r="AM1" s="53"/>
      <c r="AN1" s="54"/>
      <c r="AO1" s="54"/>
      <c r="AP1" s="54"/>
      <c r="AQ1" s="54"/>
      <c r="AR1" s="55"/>
    </row>
    <row r="2" spans="1:151" ht="13.5" customHeight="1">
      <c r="A2" s="56" t="s">
        <v>215</v>
      </c>
      <c r="B2" s="57"/>
      <c r="C2" s="58"/>
      <c r="D2" s="59"/>
      <c r="E2" s="59"/>
      <c r="F2" s="59"/>
      <c r="G2" s="59"/>
      <c r="H2" s="60"/>
      <c r="J2" s="56" t="str">
        <f>A2</f>
        <v>Ngày 12 tháng 8 năm 2016</v>
      </c>
      <c r="K2" s="57"/>
      <c r="L2" s="58"/>
      <c r="M2" s="59"/>
      <c r="N2" s="59"/>
      <c r="O2" s="59"/>
      <c r="P2" s="59"/>
      <c r="Q2" s="60"/>
      <c r="S2" s="56" t="str">
        <f>A2</f>
        <v>Ngày 12 tháng 8 năm 2016</v>
      </c>
      <c r="T2" s="57"/>
      <c r="U2" s="57"/>
      <c r="V2" s="58"/>
      <c r="W2" s="59"/>
      <c r="X2" s="59"/>
      <c r="Y2" s="59"/>
      <c r="Z2" s="59"/>
      <c r="AA2" s="59"/>
      <c r="AB2" s="60"/>
      <c r="AC2" s="56" t="str">
        <f>A2</f>
        <v>Ngày 12 tháng 8 năm 2016</v>
      </c>
      <c r="AD2" s="57"/>
      <c r="AE2" s="57"/>
      <c r="AF2" s="58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0"/>
    </row>
    <row r="3" spans="1:151" ht="13.5" customHeight="1">
      <c r="A3" s="62" t="s">
        <v>34</v>
      </c>
      <c r="B3" s="63">
        <v>2</v>
      </c>
      <c r="C3" s="60"/>
      <c r="D3" s="59"/>
      <c r="E3" s="59"/>
      <c r="F3" s="59"/>
      <c r="G3" s="59"/>
      <c r="H3" s="60"/>
      <c r="J3" s="62" t="s">
        <v>34</v>
      </c>
      <c r="K3" s="63">
        <v>1</v>
      </c>
      <c r="L3" s="60"/>
      <c r="M3" s="59"/>
      <c r="N3" s="59"/>
      <c r="O3" s="59"/>
      <c r="P3" s="59"/>
      <c r="Q3" s="60"/>
      <c r="S3" s="62" t="s">
        <v>34</v>
      </c>
      <c r="T3" s="63">
        <v>3</v>
      </c>
      <c r="U3" s="59"/>
      <c r="V3" s="60"/>
      <c r="W3" s="59"/>
      <c r="X3" s="59"/>
      <c r="Y3" s="59"/>
      <c r="Z3" s="59"/>
      <c r="AA3" s="59"/>
      <c r="AB3" s="60"/>
      <c r="AC3" s="62" t="s">
        <v>34</v>
      </c>
      <c r="AD3" s="64">
        <v>1</v>
      </c>
      <c r="AE3" s="59"/>
      <c r="AF3" s="60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60"/>
    </row>
    <row r="4" spans="1:151" ht="13.5" customHeight="1" thickBot="1">
      <c r="A4" s="65" t="s">
        <v>35</v>
      </c>
      <c r="B4" s="961" t="s">
        <v>31</v>
      </c>
      <c r="C4" s="962"/>
      <c r="D4" s="59"/>
      <c r="E4" s="59"/>
      <c r="F4" s="59"/>
      <c r="G4" s="59"/>
      <c r="H4" s="60"/>
      <c r="J4" s="65" t="s">
        <v>35</v>
      </c>
      <c r="K4" s="961" t="s">
        <v>32</v>
      </c>
      <c r="L4" s="962"/>
      <c r="M4" s="59"/>
      <c r="N4" s="59"/>
      <c r="O4" s="59"/>
      <c r="P4" s="59"/>
      <c r="Q4" s="60"/>
      <c r="S4" s="62" t="s">
        <v>35</v>
      </c>
      <c r="T4" s="961" t="s">
        <v>36</v>
      </c>
      <c r="U4" s="961"/>
      <c r="V4" s="962"/>
      <c r="W4" s="59"/>
      <c r="X4" s="59"/>
      <c r="Y4" s="59"/>
      <c r="Z4" s="59"/>
      <c r="AA4" s="59"/>
      <c r="AB4" s="60"/>
      <c r="AC4" s="65" t="s">
        <v>35</v>
      </c>
      <c r="AD4" s="961" t="s">
        <v>32</v>
      </c>
      <c r="AE4" s="961"/>
      <c r="AF4" s="962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60"/>
    </row>
    <row r="5" spans="1:151" ht="39.75" customHeight="1">
      <c r="A5" s="62"/>
      <c r="B5" s="63"/>
      <c r="C5" s="63"/>
      <c r="D5" s="59"/>
      <c r="E5" s="59"/>
      <c r="F5" s="59"/>
      <c r="G5" s="59"/>
      <c r="H5" s="60"/>
      <c r="J5" s="963" t="s">
        <v>0</v>
      </c>
      <c r="K5" s="965" t="s">
        <v>90</v>
      </c>
      <c r="L5" s="966"/>
      <c r="M5" s="967"/>
      <c r="N5" s="943" t="s">
        <v>0</v>
      </c>
      <c r="O5" s="946" t="s">
        <v>64</v>
      </c>
      <c r="P5" s="947"/>
      <c r="Q5" s="949"/>
      <c r="S5" s="969" t="s">
        <v>0</v>
      </c>
      <c r="T5" s="951" t="s">
        <v>65</v>
      </c>
      <c r="U5" s="952"/>
      <c r="V5" s="953"/>
      <c r="W5" s="946" t="s">
        <v>66</v>
      </c>
      <c r="X5" s="947"/>
      <c r="Y5" s="948"/>
      <c r="Z5" s="946" t="s">
        <v>67</v>
      </c>
      <c r="AA5" s="947"/>
      <c r="AB5" s="949"/>
      <c r="AC5" s="66" t="s">
        <v>2</v>
      </c>
      <c r="AD5" s="950" t="s">
        <v>11</v>
      </c>
      <c r="AE5" s="950"/>
      <c r="AF5" s="950"/>
      <c r="AG5" s="950" t="s">
        <v>12</v>
      </c>
      <c r="AH5" s="950"/>
      <c r="AI5" s="950"/>
      <c r="AJ5" s="950" t="s">
        <v>13</v>
      </c>
      <c r="AK5" s="950"/>
      <c r="AL5" s="950"/>
      <c r="AM5" s="946" t="s">
        <v>14</v>
      </c>
      <c r="AN5" s="947"/>
      <c r="AO5" s="948"/>
      <c r="AP5" s="937" t="s">
        <v>15</v>
      </c>
      <c r="AQ5" s="937"/>
      <c r="AR5" s="937"/>
      <c r="AS5" s="226" t="s">
        <v>91</v>
      </c>
      <c r="AT5" s="158" t="s">
        <v>104</v>
      </c>
    </row>
    <row r="6" spans="1:151" ht="15.75" customHeight="1">
      <c r="A6" s="938" t="s">
        <v>0</v>
      </c>
      <c r="B6" s="940" t="s">
        <v>72</v>
      </c>
      <c r="C6" s="941"/>
      <c r="D6" s="942"/>
      <c r="E6" s="943" t="s">
        <v>0</v>
      </c>
      <c r="F6" s="940" t="s">
        <v>72</v>
      </c>
      <c r="G6" s="941"/>
      <c r="H6" s="945"/>
      <c r="J6" s="964"/>
      <c r="K6" s="931" t="s">
        <v>63</v>
      </c>
      <c r="L6" s="67" t="s">
        <v>5</v>
      </c>
      <c r="M6" s="67" t="s">
        <v>6</v>
      </c>
      <c r="N6" s="968"/>
      <c r="O6" s="931" t="s">
        <v>63</v>
      </c>
      <c r="P6" s="67" t="s">
        <v>5</v>
      </c>
      <c r="Q6" s="68" t="s">
        <v>6</v>
      </c>
      <c r="S6" s="969"/>
      <c r="T6" s="931" t="s">
        <v>68</v>
      </c>
      <c r="U6" s="69" t="s">
        <v>5</v>
      </c>
      <c r="V6" s="69" t="s">
        <v>6</v>
      </c>
      <c r="W6" s="931" t="s">
        <v>63</v>
      </c>
      <c r="X6" s="69" t="s">
        <v>5</v>
      </c>
      <c r="Y6" s="69" t="s">
        <v>6</v>
      </c>
      <c r="Z6" s="931" t="s">
        <v>63</v>
      </c>
      <c r="AA6" s="69" t="s">
        <v>5</v>
      </c>
      <c r="AB6" s="70" t="s">
        <v>6</v>
      </c>
      <c r="AC6" s="935" t="s">
        <v>0</v>
      </c>
      <c r="AD6" s="931" t="s">
        <v>63</v>
      </c>
      <c r="AE6" s="931" t="s">
        <v>5</v>
      </c>
      <c r="AF6" s="931" t="s">
        <v>6</v>
      </c>
      <c r="AG6" s="931" t="s">
        <v>69</v>
      </c>
      <c r="AH6" s="931" t="s">
        <v>5</v>
      </c>
      <c r="AI6" s="931" t="s">
        <v>6</v>
      </c>
      <c r="AJ6" s="931" t="s">
        <v>69</v>
      </c>
      <c r="AK6" s="931" t="s">
        <v>5</v>
      </c>
      <c r="AL6" s="931" t="s">
        <v>6</v>
      </c>
      <c r="AM6" s="931" t="s">
        <v>68</v>
      </c>
      <c r="AN6" s="931" t="s">
        <v>5</v>
      </c>
      <c r="AO6" s="931" t="s">
        <v>6</v>
      </c>
      <c r="AP6" s="933" t="s">
        <v>70</v>
      </c>
      <c r="AQ6" s="933" t="s">
        <v>5</v>
      </c>
      <c r="AR6" s="933" t="s">
        <v>6</v>
      </c>
      <c r="AS6" s="933" t="s">
        <v>70</v>
      </c>
      <c r="AT6" s="933" t="s">
        <v>70</v>
      </c>
    </row>
    <row r="7" spans="1:151" ht="24.75" customHeight="1">
      <c r="A7" s="939"/>
      <c r="B7" s="72" t="s">
        <v>63</v>
      </c>
      <c r="C7" s="73" t="s">
        <v>5</v>
      </c>
      <c r="D7" s="73" t="s">
        <v>6</v>
      </c>
      <c r="E7" s="944"/>
      <c r="F7" s="74" t="s">
        <v>71</v>
      </c>
      <c r="G7" s="75" t="s">
        <v>5</v>
      </c>
      <c r="H7" s="76" t="s">
        <v>6</v>
      </c>
      <c r="J7" s="939"/>
      <c r="K7" s="932"/>
      <c r="L7" s="77" t="s">
        <v>7</v>
      </c>
      <c r="M7" s="77" t="s">
        <v>8</v>
      </c>
      <c r="N7" s="944"/>
      <c r="O7" s="932"/>
      <c r="P7" s="77" t="s">
        <v>7</v>
      </c>
      <c r="Q7" s="78" t="s">
        <v>8</v>
      </c>
      <c r="S7" s="969"/>
      <c r="T7" s="932"/>
      <c r="U7" s="79" t="s">
        <v>7</v>
      </c>
      <c r="V7" s="79" t="s">
        <v>8</v>
      </c>
      <c r="W7" s="932"/>
      <c r="X7" s="79" t="s">
        <v>7</v>
      </c>
      <c r="Y7" s="79" t="s">
        <v>8</v>
      </c>
      <c r="Z7" s="932"/>
      <c r="AA7" s="79" t="s">
        <v>7</v>
      </c>
      <c r="AB7" s="80" t="s">
        <v>8</v>
      </c>
      <c r="AC7" s="936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4"/>
      <c r="AQ7" s="934"/>
      <c r="AR7" s="934"/>
      <c r="AS7" s="934"/>
      <c r="AT7" s="934"/>
    </row>
    <row r="8" spans="1:151" s="88" customFormat="1" ht="14.25" customHeight="1">
      <c r="A8" s="71" t="s">
        <v>37</v>
      </c>
      <c r="B8" s="190">
        <v>600</v>
      </c>
      <c r="C8" s="83"/>
      <c r="D8" s="84"/>
      <c r="E8" s="85"/>
      <c r="F8" s="82"/>
      <c r="G8" s="86">
        <f>F8/100</f>
        <v>0</v>
      </c>
      <c r="H8" s="87"/>
      <c r="J8" s="178" t="s">
        <v>37</v>
      </c>
      <c r="K8" s="190">
        <v>900</v>
      </c>
      <c r="L8" s="89"/>
      <c r="M8" s="84"/>
      <c r="N8" s="81"/>
      <c r="O8" s="81"/>
      <c r="P8" s="90">
        <f>O8/2000</f>
        <v>0</v>
      </c>
      <c r="Q8" s="91"/>
      <c r="S8" s="178" t="s">
        <v>114</v>
      </c>
      <c r="T8" s="174">
        <v>2150</v>
      </c>
      <c r="U8" s="93"/>
      <c r="V8" s="94"/>
      <c r="W8" s="95"/>
      <c r="X8" s="94"/>
      <c r="Y8" s="94"/>
      <c r="Z8" s="95"/>
      <c r="AA8" s="94"/>
      <c r="AB8" s="96"/>
      <c r="AC8" s="178" t="s">
        <v>37</v>
      </c>
      <c r="AD8" s="92"/>
      <c r="AE8" s="97"/>
      <c r="AF8" s="97"/>
      <c r="AG8" s="92">
        <v>500</v>
      </c>
      <c r="AH8" s="97"/>
      <c r="AI8" s="97"/>
      <c r="AJ8" s="92"/>
      <c r="AK8" s="97"/>
      <c r="AL8" s="97"/>
      <c r="AM8" s="92"/>
      <c r="AN8" s="97"/>
      <c r="AO8" s="97"/>
      <c r="AP8" s="82"/>
      <c r="AQ8" s="98"/>
      <c r="AR8" s="98"/>
      <c r="AS8" s="82"/>
      <c r="AT8" s="82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</row>
    <row r="9" spans="1:151" ht="14.25" customHeight="1">
      <c r="A9" s="71" t="s">
        <v>44</v>
      </c>
      <c r="B9" s="120">
        <v>600</v>
      </c>
      <c r="C9" s="99"/>
      <c r="D9" s="71"/>
      <c r="E9" s="100"/>
      <c r="F9" s="71"/>
      <c r="G9" s="101">
        <f>F9/100</f>
        <v>0</v>
      </c>
      <c r="H9" s="102"/>
      <c r="J9" s="103" t="s">
        <v>44</v>
      </c>
      <c r="K9" s="120">
        <v>900</v>
      </c>
      <c r="L9" s="101"/>
      <c r="M9" s="71"/>
      <c r="N9" s="71"/>
      <c r="O9" s="71"/>
      <c r="P9" s="101">
        <f>O9/2000</f>
        <v>0</v>
      </c>
      <c r="Q9" s="102"/>
      <c r="S9" s="105" t="s">
        <v>38</v>
      </c>
      <c r="T9" s="98"/>
      <c r="U9" s="106"/>
      <c r="V9" s="107"/>
      <c r="W9" s="108">
        <v>800</v>
      </c>
      <c r="X9" s="109"/>
      <c r="Y9" s="107"/>
      <c r="Z9" s="108">
        <v>108</v>
      </c>
      <c r="AA9" s="109"/>
      <c r="AB9" s="110"/>
      <c r="AC9" s="103" t="s">
        <v>44</v>
      </c>
      <c r="AD9" s="71"/>
      <c r="AE9" s="71"/>
      <c r="AF9" s="71"/>
      <c r="AG9" s="71">
        <v>500</v>
      </c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</row>
    <row r="10" spans="1:151" s="88" customFormat="1" ht="14.25" customHeight="1">
      <c r="A10" s="71" t="s">
        <v>40</v>
      </c>
      <c r="B10" s="119">
        <v>1400</v>
      </c>
      <c r="C10" s="90"/>
      <c r="D10" s="81"/>
      <c r="E10" s="112"/>
      <c r="F10" s="81"/>
      <c r="G10" s="113">
        <f>F10/100</f>
        <v>0</v>
      </c>
      <c r="H10" s="91"/>
      <c r="J10" s="103" t="s">
        <v>40</v>
      </c>
      <c r="K10" s="119">
        <v>100</v>
      </c>
      <c r="L10" s="113"/>
      <c r="M10" s="81"/>
      <c r="N10" s="81"/>
      <c r="O10" s="81"/>
      <c r="P10" s="90">
        <f>O10/500</f>
        <v>0</v>
      </c>
      <c r="Q10" s="91"/>
      <c r="S10" s="103" t="s">
        <v>39</v>
      </c>
      <c r="T10" s="81"/>
      <c r="U10" s="113"/>
      <c r="V10" s="90"/>
      <c r="W10" s="81"/>
      <c r="X10" s="90"/>
      <c r="Y10" s="90"/>
      <c r="Z10" s="111">
        <v>216</v>
      </c>
      <c r="AA10" s="90"/>
      <c r="AB10" s="91"/>
      <c r="AC10" s="103" t="s">
        <v>40</v>
      </c>
      <c r="AD10" s="81">
        <v>400</v>
      </c>
      <c r="AE10" s="71"/>
      <c r="AF10" s="71"/>
      <c r="AG10" s="111"/>
      <c r="AH10" s="71"/>
      <c r="AI10" s="71"/>
      <c r="AJ10" s="81"/>
      <c r="AK10" s="71"/>
      <c r="AL10" s="71"/>
      <c r="AM10" s="81">
        <v>400</v>
      </c>
      <c r="AN10" s="71"/>
      <c r="AO10" s="71"/>
      <c r="AP10" s="81"/>
      <c r="AQ10" s="71"/>
      <c r="AR10" s="71"/>
      <c r="AS10" s="81"/>
      <c r="AT10" s="8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</row>
    <row r="11" spans="1:151" ht="14.25" customHeight="1">
      <c r="A11" s="115" t="s">
        <v>57</v>
      </c>
      <c r="B11" s="120">
        <v>4000</v>
      </c>
      <c r="C11" s="99"/>
      <c r="D11" s="71"/>
      <c r="E11" s="100"/>
      <c r="F11" s="71"/>
      <c r="G11" s="101">
        <f>F11/100</f>
        <v>0</v>
      </c>
      <c r="H11" s="102"/>
      <c r="J11" s="103" t="s">
        <v>57</v>
      </c>
      <c r="K11" s="120">
        <v>1800</v>
      </c>
      <c r="L11" s="101"/>
      <c r="M11" s="71"/>
      <c r="N11" s="115"/>
      <c r="O11" s="104"/>
      <c r="P11" s="99">
        <f>O11/2000</f>
        <v>0</v>
      </c>
      <c r="Q11" s="102"/>
      <c r="S11" s="103" t="s">
        <v>77</v>
      </c>
      <c r="T11" s="71"/>
      <c r="U11" s="101"/>
      <c r="V11" s="99"/>
      <c r="W11" s="71"/>
      <c r="X11" s="101"/>
      <c r="Y11" s="99"/>
      <c r="Z11" s="104">
        <v>800</v>
      </c>
      <c r="AA11" s="101"/>
      <c r="AB11" s="102"/>
      <c r="AC11" s="103" t="s">
        <v>57</v>
      </c>
      <c r="AD11" s="104"/>
      <c r="AE11" s="71"/>
      <c r="AF11" s="71"/>
      <c r="AG11" s="104">
        <v>1000</v>
      </c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</row>
    <row r="12" spans="1:151" s="88" customFormat="1" ht="14.25" customHeight="1">
      <c r="A12" s="100" t="s">
        <v>112</v>
      </c>
      <c r="B12" s="119">
        <v>2800</v>
      </c>
      <c r="C12" s="113"/>
      <c r="D12" s="81"/>
      <c r="E12" s="85"/>
      <c r="F12" s="81"/>
      <c r="G12" s="113">
        <f>F12/4000</f>
        <v>0</v>
      </c>
      <c r="H12" s="91"/>
      <c r="J12" s="105" t="s">
        <v>112</v>
      </c>
      <c r="K12" s="119">
        <v>2000</v>
      </c>
      <c r="L12" s="113"/>
      <c r="M12" s="81"/>
      <c r="N12" s="116"/>
      <c r="O12" s="81"/>
      <c r="P12" s="90">
        <f>O12/2000</f>
        <v>0</v>
      </c>
      <c r="Q12" s="91"/>
      <c r="S12" s="105" t="s">
        <v>112</v>
      </c>
      <c r="T12" s="81"/>
      <c r="U12" s="113"/>
      <c r="V12" s="90"/>
      <c r="W12" s="111">
        <v>2400</v>
      </c>
      <c r="X12" s="113"/>
      <c r="Y12" s="90"/>
      <c r="Z12" s="111">
        <v>284</v>
      </c>
      <c r="AA12" s="113"/>
      <c r="AB12" s="91"/>
      <c r="AC12" s="105" t="s">
        <v>112</v>
      </c>
      <c r="AD12" s="81"/>
      <c r="AE12" s="71"/>
      <c r="AF12" s="71"/>
      <c r="AG12" s="81"/>
      <c r="AH12" s="71"/>
      <c r="AI12" s="71"/>
      <c r="AJ12" s="81"/>
      <c r="AK12" s="71"/>
      <c r="AL12" s="71"/>
      <c r="AM12" s="81">
        <v>800</v>
      </c>
      <c r="AN12" s="71"/>
      <c r="AO12" s="71"/>
      <c r="AP12" s="81"/>
      <c r="AQ12" s="71"/>
      <c r="AR12" s="71"/>
      <c r="AS12" s="81">
        <v>200</v>
      </c>
      <c r="AT12" s="8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</row>
    <row r="13" spans="1:151" ht="14.25" customHeight="1">
      <c r="A13" s="115" t="s">
        <v>51</v>
      </c>
      <c r="B13" s="120">
        <v>2000</v>
      </c>
      <c r="C13" s="99"/>
      <c r="D13" s="71"/>
      <c r="E13" s="100"/>
      <c r="F13" s="71"/>
      <c r="G13" s="99">
        <f>F13/100</f>
        <v>0</v>
      </c>
      <c r="H13" s="102"/>
      <c r="J13" s="103" t="s">
        <v>51</v>
      </c>
      <c r="K13" s="120">
        <v>900</v>
      </c>
      <c r="L13" s="101"/>
      <c r="M13" s="71"/>
      <c r="N13" s="115"/>
      <c r="O13" s="71"/>
      <c r="P13" s="101">
        <f>O13/600</f>
        <v>0</v>
      </c>
      <c r="Q13" s="102"/>
      <c r="S13" s="103" t="s">
        <v>51</v>
      </c>
      <c r="T13" s="71"/>
      <c r="U13" s="101"/>
      <c r="V13" s="99"/>
      <c r="W13" s="104">
        <v>1100</v>
      </c>
      <c r="X13" s="101"/>
      <c r="Y13" s="99"/>
      <c r="Z13" s="104">
        <v>650</v>
      </c>
      <c r="AA13" s="101"/>
      <c r="AB13" s="102"/>
      <c r="AC13" s="103" t="s">
        <v>51</v>
      </c>
      <c r="AD13" s="71"/>
      <c r="AE13" s="71"/>
      <c r="AF13" s="71"/>
      <c r="AG13" s="104" t="s">
        <v>162</v>
      </c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</row>
    <row r="14" spans="1:151" s="88" customFormat="1" ht="14.25" customHeight="1">
      <c r="A14" s="71" t="s">
        <v>52</v>
      </c>
      <c r="B14" s="120">
        <v>2000</v>
      </c>
      <c r="C14" s="81"/>
      <c r="D14" s="81"/>
      <c r="F14" s="81"/>
      <c r="G14" s="90">
        <f>F14/25</f>
        <v>0</v>
      </c>
      <c r="H14" s="91"/>
      <c r="J14" s="105" t="s">
        <v>52</v>
      </c>
      <c r="K14" s="120">
        <v>900</v>
      </c>
      <c r="L14" s="113"/>
      <c r="M14" s="81"/>
      <c r="N14" s="81"/>
      <c r="O14" s="81"/>
      <c r="P14" s="113">
        <f>O14/400</f>
        <v>0</v>
      </c>
      <c r="Q14" s="91"/>
      <c r="S14" s="105" t="s">
        <v>52</v>
      </c>
      <c r="T14" s="81"/>
      <c r="U14" s="113"/>
      <c r="V14" s="90"/>
      <c r="W14" s="104">
        <v>1100</v>
      </c>
      <c r="X14" s="113"/>
      <c r="Y14" s="90"/>
      <c r="Z14" s="104">
        <v>650</v>
      </c>
      <c r="AA14" s="113"/>
      <c r="AB14" s="91"/>
      <c r="AC14" s="105" t="s">
        <v>52</v>
      </c>
      <c r="AD14" s="81"/>
      <c r="AE14" s="71"/>
      <c r="AF14" s="71"/>
      <c r="AG14" s="111" t="s">
        <v>162</v>
      </c>
      <c r="AH14" s="71"/>
      <c r="AI14" s="71"/>
      <c r="AJ14" s="81"/>
      <c r="AK14" s="71"/>
      <c r="AL14" s="71"/>
      <c r="AM14" s="81"/>
      <c r="AN14" s="71"/>
      <c r="AO14" s="71"/>
      <c r="AP14" s="81"/>
      <c r="AQ14" s="71"/>
      <c r="AR14" s="71"/>
      <c r="AS14" s="81"/>
      <c r="AT14" s="8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</row>
    <row r="15" spans="1:151" ht="14.25" customHeight="1">
      <c r="A15" s="71" t="s">
        <v>61</v>
      </c>
      <c r="B15" s="120">
        <v>2000</v>
      </c>
      <c r="C15" s="71"/>
      <c r="D15" s="71"/>
      <c r="E15" s="115"/>
      <c r="F15" s="71"/>
      <c r="G15" s="99"/>
      <c r="H15" s="102"/>
      <c r="J15" s="105" t="s">
        <v>61</v>
      </c>
      <c r="K15" s="120">
        <v>900</v>
      </c>
      <c r="L15" s="101"/>
      <c r="M15" s="71"/>
      <c r="N15" s="71"/>
      <c r="O15" s="71"/>
      <c r="P15" s="101">
        <f>O15/600</f>
        <v>0</v>
      </c>
      <c r="Q15" s="102"/>
      <c r="S15" s="105" t="s">
        <v>61</v>
      </c>
      <c r="T15" s="71"/>
      <c r="U15" s="101"/>
      <c r="V15" s="99"/>
      <c r="W15" s="104">
        <v>1100</v>
      </c>
      <c r="X15" s="99"/>
      <c r="Y15" s="99"/>
      <c r="Z15" s="104">
        <v>650</v>
      </c>
      <c r="AA15" s="101"/>
      <c r="AB15" s="102"/>
      <c r="AC15" s="105" t="s">
        <v>61</v>
      </c>
      <c r="AD15" s="71"/>
      <c r="AE15" s="71"/>
      <c r="AF15" s="71"/>
      <c r="AG15" s="104">
        <v>500</v>
      </c>
      <c r="AH15" s="71"/>
      <c r="AI15" s="71"/>
      <c r="AJ15" s="71"/>
      <c r="AK15" s="71"/>
      <c r="AL15" s="71"/>
      <c r="AM15" s="71"/>
      <c r="AN15" s="71"/>
      <c r="AO15" s="71"/>
      <c r="AP15" s="104"/>
      <c r="AQ15" s="71"/>
      <c r="AR15" s="71"/>
      <c r="AS15" s="71"/>
      <c r="AT15" s="71"/>
    </row>
    <row r="16" spans="1:151" s="88" customFormat="1" ht="14.25" customHeight="1">
      <c r="A16" s="71" t="s">
        <v>62</v>
      </c>
      <c r="B16" s="120">
        <v>2000</v>
      </c>
      <c r="C16" s="81"/>
      <c r="D16" s="81"/>
      <c r="E16" s="118"/>
      <c r="F16" s="81"/>
      <c r="G16" s="90"/>
      <c r="H16" s="91"/>
      <c r="J16" s="105" t="s">
        <v>62</v>
      </c>
      <c r="K16" s="120">
        <v>900</v>
      </c>
      <c r="L16" s="113"/>
      <c r="M16" s="81"/>
      <c r="N16" s="81"/>
      <c r="O16" s="111"/>
      <c r="P16" s="113">
        <f>O16/400</f>
        <v>0</v>
      </c>
      <c r="Q16" s="91"/>
      <c r="S16" s="105" t="s">
        <v>62</v>
      </c>
      <c r="T16" s="81"/>
      <c r="U16" s="113"/>
      <c r="V16" s="90"/>
      <c r="W16" s="104">
        <v>1100</v>
      </c>
      <c r="X16" s="90"/>
      <c r="Y16" s="90"/>
      <c r="Z16" s="104">
        <v>650</v>
      </c>
      <c r="AA16" s="90"/>
      <c r="AB16" s="91"/>
      <c r="AC16" s="105" t="s">
        <v>62</v>
      </c>
      <c r="AD16" s="81"/>
      <c r="AE16" s="71"/>
      <c r="AF16" s="71"/>
      <c r="AG16" s="111" t="s">
        <v>162</v>
      </c>
      <c r="AH16" s="71"/>
      <c r="AI16" s="71"/>
      <c r="AJ16" s="81"/>
      <c r="AK16" s="71"/>
      <c r="AL16" s="71"/>
      <c r="AM16" s="81"/>
      <c r="AN16" s="71"/>
      <c r="AO16" s="71"/>
      <c r="AP16" s="111"/>
      <c r="AQ16" s="71"/>
      <c r="AR16" s="71"/>
      <c r="AS16" s="81"/>
      <c r="AT16" s="8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</row>
    <row r="17" spans="1:151" ht="14.25" customHeight="1">
      <c r="A17" s="71" t="s">
        <v>74</v>
      </c>
      <c r="B17" s="120">
        <v>2000</v>
      </c>
      <c r="C17" s="71"/>
      <c r="D17" s="71"/>
      <c r="E17" s="115"/>
      <c r="F17" s="104"/>
      <c r="G17" s="71"/>
      <c r="H17" s="102"/>
      <c r="J17" s="105" t="s">
        <v>74</v>
      </c>
      <c r="K17" s="120">
        <v>900</v>
      </c>
      <c r="L17" s="101"/>
      <c r="M17" s="71"/>
      <c r="N17" s="71"/>
      <c r="O17" s="71"/>
      <c r="P17" s="99">
        <f>O17/200</f>
        <v>0</v>
      </c>
      <c r="Q17" s="102"/>
      <c r="S17" s="105" t="s">
        <v>74</v>
      </c>
      <c r="T17" s="71"/>
      <c r="U17" s="101"/>
      <c r="V17" s="99"/>
      <c r="W17" s="104">
        <v>800</v>
      </c>
      <c r="X17" s="101"/>
      <c r="Y17" s="99"/>
      <c r="Z17" s="104">
        <v>650</v>
      </c>
      <c r="AA17" s="101"/>
      <c r="AB17" s="102"/>
      <c r="AC17" s="105" t="s">
        <v>74</v>
      </c>
      <c r="AD17" s="71"/>
      <c r="AE17" s="71"/>
      <c r="AF17" s="71"/>
      <c r="AG17" s="104">
        <v>500</v>
      </c>
      <c r="AH17" s="71"/>
      <c r="AI17" s="71"/>
      <c r="AJ17" s="71"/>
      <c r="AK17" s="71"/>
      <c r="AL17" s="71"/>
      <c r="AM17" s="71"/>
      <c r="AN17" s="71"/>
      <c r="AO17" s="71"/>
      <c r="AP17" s="104"/>
      <c r="AQ17" s="71"/>
      <c r="AR17" s="71"/>
      <c r="AS17" s="71"/>
      <c r="AT17" s="71"/>
    </row>
    <row r="18" spans="1:151" s="88" customFormat="1" ht="14.25" customHeight="1">
      <c r="A18" s="115" t="s">
        <v>81</v>
      </c>
      <c r="B18" s="119">
        <v>2000</v>
      </c>
      <c r="C18" s="81"/>
      <c r="D18" s="81"/>
      <c r="E18" s="119"/>
      <c r="F18" s="81"/>
      <c r="G18" s="81"/>
      <c r="H18" s="91"/>
      <c r="J18" s="103" t="s">
        <v>81</v>
      </c>
      <c r="K18" s="119">
        <v>1000</v>
      </c>
      <c r="L18" s="113"/>
      <c r="M18" s="81"/>
      <c r="N18" s="112"/>
      <c r="O18" s="81"/>
      <c r="P18" s="90">
        <f>O18/1000</f>
        <v>0</v>
      </c>
      <c r="Q18" s="91"/>
      <c r="S18" s="103" t="s">
        <v>75</v>
      </c>
      <c r="T18" s="81"/>
      <c r="U18" s="113"/>
      <c r="V18" s="90"/>
      <c r="W18" s="111">
        <v>300</v>
      </c>
      <c r="X18" s="90"/>
      <c r="Y18" s="90"/>
      <c r="Z18" s="111"/>
      <c r="AA18" s="90"/>
      <c r="AB18" s="91"/>
      <c r="AC18" s="103" t="s">
        <v>81</v>
      </c>
      <c r="AD18" s="81">
        <v>400</v>
      </c>
      <c r="AE18" s="71"/>
      <c r="AF18" s="71"/>
      <c r="AG18" s="81">
        <v>500</v>
      </c>
      <c r="AH18" s="71"/>
      <c r="AI18" s="71"/>
      <c r="AJ18" s="81"/>
      <c r="AK18" s="71"/>
      <c r="AL18" s="71"/>
      <c r="AM18" s="81"/>
      <c r="AN18" s="71"/>
      <c r="AO18" s="71"/>
      <c r="AP18" s="202"/>
      <c r="AQ18" s="71"/>
      <c r="AR18" s="71"/>
      <c r="AS18" s="81"/>
      <c r="AT18" s="8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</row>
    <row r="19" spans="1:151" ht="14.25" customHeight="1">
      <c r="A19" s="71" t="s">
        <v>113</v>
      </c>
      <c r="B19" s="120">
        <v>24400</v>
      </c>
      <c r="C19" s="71"/>
      <c r="D19" s="71"/>
      <c r="E19" s="120"/>
      <c r="F19" s="71"/>
      <c r="G19" s="71"/>
      <c r="H19" s="102"/>
      <c r="J19" s="121" t="s">
        <v>113</v>
      </c>
      <c r="K19" s="120">
        <v>15400</v>
      </c>
      <c r="L19" s="101"/>
      <c r="M19" s="71"/>
      <c r="N19" s="71"/>
      <c r="O19" s="71"/>
      <c r="P19" s="101">
        <f>O19/3000</f>
        <v>0</v>
      </c>
      <c r="Q19" s="102"/>
      <c r="S19" s="121" t="s">
        <v>113</v>
      </c>
      <c r="T19" s="71"/>
      <c r="U19" s="101"/>
      <c r="V19" s="99"/>
      <c r="W19" s="104">
        <v>16500</v>
      </c>
      <c r="X19" s="99"/>
      <c r="Y19" s="99"/>
      <c r="Z19" s="104">
        <v>11086</v>
      </c>
      <c r="AA19" s="99"/>
      <c r="AB19" s="102"/>
      <c r="AC19" s="121" t="s">
        <v>113</v>
      </c>
      <c r="AD19" s="71"/>
      <c r="AE19" s="71"/>
      <c r="AF19" s="71"/>
      <c r="AG19" s="71">
        <v>3500</v>
      </c>
      <c r="AH19" s="71"/>
      <c r="AI19" s="71"/>
      <c r="AJ19" s="71"/>
      <c r="AK19" s="71"/>
      <c r="AL19" s="71"/>
      <c r="AM19" s="71"/>
      <c r="AN19" s="71"/>
      <c r="AO19" s="71"/>
      <c r="AP19" s="203">
        <v>600</v>
      </c>
      <c r="AQ19" s="71"/>
      <c r="AR19" s="71"/>
      <c r="AS19" s="71"/>
      <c r="AT19" s="71"/>
    </row>
    <row r="20" spans="1:151" s="88" customFormat="1" ht="14.25" customHeight="1">
      <c r="A20" s="71" t="s">
        <v>80</v>
      </c>
      <c r="B20" s="119">
        <v>1200</v>
      </c>
      <c r="C20" s="81"/>
      <c r="D20" s="81"/>
      <c r="E20" s="119"/>
      <c r="F20" s="81"/>
      <c r="G20" s="81"/>
      <c r="H20" s="91"/>
      <c r="J20" s="103" t="s">
        <v>80</v>
      </c>
      <c r="K20" s="119">
        <v>1800</v>
      </c>
      <c r="L20" s="113"/>
      <c r="M20" s="81"/>
      <c r="N20" s="81"/>
      <c r="O20" s="81"/>
      <c r="P20" s="90">
        <f>O20/2000</f>
        <v>0</v>
      </c>
      <c r="Q20" s="91"/>
      <c r="S20" s="105" t="s">
        <v>76</v>
      </c>
      <c r="T20" s="122"/>
      <c r="U20" s="113"/>
      <c r="V20" s="90"/>
      <c r="W20" s="111"/>
      <c r="X20" s="113"/>
      <c r="Y20" s="90"/>
      <c r="Z20" s="111">
        <v>216</v>
      </c>
      <c r="AA20" s="113"/>
      <c r="AB20" s="91"/>
      <c r="AC20" s="103" t="s">
        <v>80</v>
      </c>
      <c r="AD20" s="81"/>
      <c r="AE20" s="71"/>
      <c r="AF20" s="71"/>
      <c r="AG20" s="81">
        <v>1000</v>
      </c>
      <c r="AH20" s="71"/>
      <c r="AI20" s="71"/>
      <c r="AJ20" s="81"/>
      <c r="AK20" s="71"/>
      <c r="AL20" s="71"/>
      <c r="AM20" s="81"/>
      <c r="AN20" s="71"/>
      <c r="AO20" s="71"/>
      <c r="AP20" s="202"/>
      <c r="AQ20" s="71"/>
      <c r="AR20" s="71"/>
      <c r="AS20" s="81"/>
      <c r="AT20" s="8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</row>
    <row r="21" spans="1:151" ht="14.25" customHeight="1">
      <c r="A21" s="103" t="s">
        <v>56</v>
      </c>
      <c r="B21" s="120">
        <v>1200</v>
      </c>
      <c r="C21" s="71"/>
      <c r="D21" s="71"/>
      <c r="E21" s="120"/>
      <c r="F21" s="71"/>
      <c r="G21" s="71"/>
      <c r="H21" s="102"/>
      <c r="J21" s="105" t="s">
        <v>56</v>
      </c>
      <c r="K21" s="120">
        <v>1800</v>
      </c>
      <c r="L21" s="99"/>
      <c r="M21" s="71"/>
      <c r="N21" s="71"/>
      <c r="O21" s="71"/>
      <c r="P21" s="99">
        <f>O21/1000</f>
        <v>0</v>
      </c>
      <c r="Q21" s="102"/>
      <c r="S21" s="105" t="s">
        <v>47</v>
      </c>
      <c r="T21" s="104"/>
      <c r="U21" s="101"/>
      <c r="V21" s="99"/>
      <c r="W21" s="104"/>
      <c r="X21" s="99"/>
      <c r="Y21" s="99"/>
      <c r="Z21" s="104">
        <v>108</v>
      </c>
      <c r="AA21" s="101"/>
      <c r="AB21" s="102"/>
      <c r="AC21" s="105" t="s">
        <v>56</v>
      </c>
      <c r="AD21" s="123"/>
      <c r="AE21" s="123"/>
      <c r="AF21" s="123"/>
      <c r="AG21" s="123">
        <v>1000</v>
      </c>
      <c r="AH21" s="123"/>
      <c r="AI21" s="123"/>
      <c r="AJ21" s="123"/>
      <c r="AK21" s="123"/>
      <c r="AL21" s="123"/>
      <c r="AM21" s="123"/>
      <c r="AN21" s="123"/>
      <c r="AO21" s="123"/>
      <c r="AP21" s="203"/>
      <c r="AQ21" s="71"/>
      <c r="AR21" s="71"/>
      <c r="AS21" s="71"/>
      <c r="AT21" s="71"/>
    </row>
    <row r="22" spans="1:151" s="88" customFormat="1" ht="14.25" customHeight="1">
      <c r="A22" s="105" t="s">
        <v>1</v>
      </c>
      <c r="B22" s="119">
        <v>1200</v>
      </c>
      <c r="C22" s="81"/>
      <c r="D22" s="81"/>
      <c r="E22" s="119"/>
      <c r="F22" s="81"/>
      <c r="G22" s="81"/>
      <c r="H22" s="91"/>
      <c r="J22" s="105" t="s">
        <v>1</v>
      </c>
      <c r="K22" s="119">
        <v>1800</v>
      </c>
      <c r="L22" s="124"/>
      <c r="M22" s="125"/>
      <c r="N22" s="81"/>
      <c r="O22" s="81"/>
      <c r="P22" s="124">
        <f>O22/2000</f>
        <v>0</v>
      </c>
      <c r="Q22" s="126"/>
      <c r="S22" s="105" t="s">
        <v>46</v>
      </c>
      <c r="T22" s="81"/>
      <c r="U22" s="113"/>
      <c r="V22" s="90"/>
      <c r="W22" s="111">
        <v>500</v>
      </c>
      <c r="X22" s="90"/>
      <c r="Y22" s="90"/>
      <c r="Z22" s="111"/>
      <c r="AA22" s="113"/>
      <c r="AB22" s="91"/>
      <c r="AC22" s="71" t="s">
        <v>1</v>
      </c>
      <c r="AD22" s="125"/>
      <c r="AE22" s="125"/>
      <c r="AF22" s="125"/>
      <c r="AG22" s="125">
        <v>1000</v>
      </c>
      <c r="AH22" s="125"/>
      <c r="AI22" s="125"/>
      <c r="AJ22" s="125"/>
      <c r="AK22" s="125"/>
      <c r="AL22" s="125"/>
      <c r="AM22" s="125"/>
      <c r="AN22" s="125"/>
      <c r="AO22" s="125"/>
      <c r="AP22" s="202"/>
      <c r="AQ22" s="81"/>
      <c r="AR22" s="81"/>
      <c r="AS22" s="81"/>
      <c r="AT22" s="8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</row>
    <row r="23" spans="1:151" ht="14.25" customHeight="1">
      <c r="A23" s="100" t="s">
        <v>19</v>
      </c>
      <c r="B23" s="120">
        <v>2800</v>
      </c>
      <c r="C23" s="71"/>
      <c r="D23" s="71"/>
      <c r="E23" s="120"/>
      <c r="F23" s="71"/>
      <c r="G23" s="71"/>
      <c r="H23" s="102"/>
      <c r="J23" s="105"/>
      <c r="K23" s="120"/>
      <c r="L23" s="99"/>
      <c r="M23" s="71"/>
      <c r="O23" s="71"/>
      <c r="P23" s="99"/>
      <c r="Q23" s="102"/>
      <c r="S23" s="103" t="s">
        <v>59</v>
      </c>
      <c r="T23" s="104">
        <v>1000</v>
      </c>
      <c r="U23" s="101"/>
      <c r="V23" s="99"/>
      <c r="W23" s="104">
        <v>2000</v>
      </c>
      <c r="X23" s="99"/>
      <c r="Y23" s="99"/>
      <c r="Z23" s="104">
        <v>250</v>
      </c>
      <c r="AA23" s="99"/>
      <c r="AB23" s="102"/>
      <c r="AC23" s="103" t="s">
        <v>59</v>
      </c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203">
        <v>100</v>
      </c>
      <c r="AQ23" s="71"/>
      <c r="AR23" s="71"/>
      <c r="AS23" s="71"/>
      <c r="AT23" s="71"/>
    </row>
    <row r="24" spans="1:151" s="88" customFormat="1" ht="14.25" customHeight="1">
      <c r="A24" s="71" t="s">
        <v>79</v>
      </c>
      <c r="B24" s="119">
        <v>600</v>
      </c>
      <c r="C24" s="81"/>
      <c r="D24" s="81"/>
      <c r="E24" s="119"/>
      <c r="F24" s="81"/>
      <c r="G24" s="81"/>
      <c r="H24" s="91"/>
      <c r="J24" s="105" t="s">
        <v>108</v>
      </c>
      <c r="K24" s="194"/>
      <c r="L24" s="124"/>
      <c r="M24" s="125"/>
      <c r="N24" s="71"/>
      <c r="O24" s="81"/>
      <c r="P24" s="124"/>
      <c r="Q24" s="126"/>
      <c r="S24" s="103" t="s">
        <v>60</v>
      </c>
      <c r="T24" s="111">
        <v>1000</v>
      </c>
      <c r="U24" s="113"/>
      <c r="V24" s="90"/>
      <c r="W24" s="104">
        <v>2000</v>
      </c>
      <c r="X24" s="90"/>
      <c r="Y24" s="90"/>
      <c r="Z24" s="104">
        <v>250</v>
      </c>
      <c r="AA24" s="113"/>
      <c r="AB24" s="91"/>
      <c r="AC24" s="103" t="s">
        <v>60</v>
      </c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202">
        <v>100</v>
      </c>
      <c r="AQ24" s="81"/>
      <c r="AR24" s="81"/>
      <c r="AS24" s="81"/>
      <c r="AT24" s="8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</row>
    <row r="25" spans="1:151" ht="14.25" customHeight="1">
      <c r="A25" s="71" t="s">
        <v>77</v>
      </c>
      <c r="B25" s="120">
        <v>300</v>
      </c>
      <c r="C25" s="71"/>
      <c r="D25" s="71"/>
      <c r="E25" s="71"/>
      <c r="F25" s="71"/>
      <c r="G25" s="71"/>
      <c r="H25" s="102"/>
      <c r="J25" s="105"/>
      <c r="K25" s="115"/>
      <c r="L25" s="99"/>
      <c r="M25" s="71"/>
      <c r="N25" s="71"/>
      <c r="O25" s="104"/>
      <c r="P25" s="99"/>
      <c r="Q25" s="102"/>
      <c r="S25" s="121" t="s">
        <v>41</v>
      </c>
      <c r="T25" s="127"/>
      <c r="U25" s="101"/>
      <c r="V25" s="99"/>
      <c r="W25" s="71"/>
      <c r="X25" s="101"/>
      <c r="Y25" s="99"/>
      <c r="Z25" s="104"/>
      <c r="AA25" s="101"/>
      <c r="AB25" s="102"/>
      <c r="AC25" s="121" t="s">
        <v>41</v>
      </c>
      <c r="AD25" s="123">
        <v>400</v>
      </c>
      <c r="AE25" s="123"/>
      <c r="AF25" s="123"/>
      <c r="AG25" s="123"/>
      <c r="AH25" s="123"/>
      <c r="AI25" s="123"/>
      <c r="AJ25" s="123"/>
      <c r="AK25" s="123"/>
      <c r="AL25" s="123"/>
      <c r="AM25" s="123">
        <v>400</v>
      </c>
      <c r="AN25" s="123"/>
      <c r="AO25" s="123"/>
      <c r="AP25" s="104"/>
      <c r="AQ25" s="71"/>
      <c r="AR25" s="71"/>
      <c r="AS25" s="71"/>
      <c r="AT25" s="71"/>
    </row>
    <row r="26" spans="1:151" s="88" customFormat="1" ht="14.25" customHeight="1">
      <c r="A26" s="128" t="s">
        <v>73</v>
      </c>
      <c r="B26" s="119">
        <v>3050</v>
      </c>
      <c r="C26" s="81"/>
      <c r="D26" s="81"/>
      <c r="E26" s="119"/>
      <c r="F26" s="81"/>
      <c r="G26" s="81"/>
      <c r="H26" s="91"/>
      <c r="J26" s="105"/>
      <c r="K26" s="195"/>
      <c r="L26" s="81"/>
      <c r="M26" s="81"/>
      <c r="N26" s="71"/>
      <c r="O26" s="81"/>
      <c r="P26" s="90"/>
      <c r="Q26" s="91"/>
      <c r="S26" s="103" t="s">
        <v>73</v>
      </c>
      <c r="T26" s="111">
        <v>2150</v>
      </c>
      <c r="U26" s="113"/>
      <c r="V26" s="90"/>
      <c r="W26" s="111">
        <v>1000</v>
      </c>
      <c r="X26" s="113"/>
      <c r="Y26" s="90"/>
      <c r="Z26" s="111"/>
      <c r="AA26" s="90"/>
      <c r="AB26" s="91"/>
      <c r="AC26" s="103" t="s">
        <v>73</v>
      </c>
      <c r="AD26" s="125">
        <v>400</v>
      </c>
      <c r="AE26" s="123"/>
      <c r="AF26" s="123"/>
      <c r="AG26" s="125"/>
      <c r="AH26" s="123"/>
      <c r="AI26" s="123"/>
      <c r="AJ26" s="125"/>
      <c r="AK26" s="123"/>
      <c r="AL26" s="123"/>
      <c r="AM26" s="159">
        <v>400</v>
      </c>
      <c r="AN26" s="123"/>
      <c r="AO26" s="123"/>
      <c r="AP26" s="111">
        <v>200</v>
      </c>
      <c r="AQ26" s="71"/>
      <c r="AR26" s="71"/>
      <c r="AS26" s="81"/>
      <c r="AT26" s="8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</row>
    <row r="27" spans="1:151" ht="14.25" customHeight="1">
      <c r="A27" s="120" t="s">
        <v>9</v>
      </c>
      <c r="B27" s="120">
        <v>100</v>
      </c>
      <c r="C27" s="71"/>
      <c r="D27" s="71"/>
      <c r="E27" s="120"/>
      <c r="F27" s="71"/>
      <c r="G27" s="71"/>
      <c r="H27" s="102"/>
      <c r="J27" s="105" t="s">
        <v>9</v>
      </c>
      <c r="K27" s="120"/>
      <c r="L27" s="71"/>
      <c r="M27" s="71"/>
      <c r="N27" s="71" t="s">
        <v>9</v>
      </c>
      <c r="O27" s="71">
        <v>600</v>
      </c>
      <c r="P27" s="99"/>
      <c r="Q27" s="102"/>
      <c r="S27" s="103" t="s">
        <v>23</v>
      </c>
      <c r="T27" s="71"/>
      <c r="U27" s="101"/>
      <c r="V27" s="99"/>
      <c r="W27" s="71"/>
      <c r="X27" s="99"/>
      <c r="Y27" s="99"/>
      <c r="Z27" s="104">
        <v>216</v>
      </c>
      <c r="AA27" s="101"/>
      <c r="AB27" s="102"/>
      <c r="AC27" s="71" t="s">
        <v>9</v>
      </c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04"/>
      <c r="AQ27" s="71"/>
      <c r="AR27" s="71"/>
      <c r="AS27" s="71"/>
      <c r="AT27" s="71"/>
    </row>
    <row r="28" spans="1:151" s="88" customFormat="1" ht="14.25" customHeight="1">
      <c r="A28" s="115" t="s">
        <v>10</v>
      </c>
      <c r="B28" s="119"/>
      <c r="C28" s="81"/>
      <c r="D28" s="81"/>
      <c r="E28" s="120"/>
      <c r="F28" s="81"/>
      <c r="G28" s="81"/>
      <c r="H28" s="91"/>
      <c r="J28" s="103" t="s">
        <v>10</v>
      </c>
      <c r="K28" s="119"/>
      <c r="L28" s="81"/>
      <c r="M28" s="81"/>
      <c r="N28" s="71" t="s">
        <v>10</v>
      </c>
      <c r="O28" s="81">
        <v>400</v>
      </c>
      <c r="P28" s="81"/>
      <c r="Q28" s="91"/>
      <c r="S28" s="105" t="s">
        <v>78</v>
      </c>
      <c r="T28" s="81"/>
      <c r="U28" s="113"/>
      <c r="V28" s="90"/>
      <c r="W28" s="81"/>
      <c r="X28" s="90"/>
      <c r="Y28" s="90"/>
      <c r="Z28" s="111">
        <v>216</v>
      </c>
      <c r="AA28" s="113"/>
      <c r="AB28" s="91"/>
      <c r="AC28" s="105" t="s">
        <v>78</v>
      </c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11">
        <v>600</v>
      </c>
      <c r="AQ28" s="81"/>
      <c r="AR28" s="81"/>
      <c r="AS28" s="81"/>
      <c r="AT28" s="8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</row>
    <row r="29" spans="1:151" ht="14.25" customHeight="1">
      <c r="A29" s="71" t="s">
        <v>45</v>
      </c>
      <c r="B29" s="120">
        <v>100</v>
      </c>
      <c r="C29" s="71"/>
      <c r="D29" s="71"/>
      <c r="E29" s="120" t="s">
        <v>45</v>
      </c>
      <c r="F29" s="172">
        <v>200</v>
      </c>
      <c r="G29" s="71"/>
      <c r="H29" s="102"/>
      <c r="J29" s="105" t="s">
        <v>89</v>
      </c>
      <c r="K29" s="120"/>
      <c r="L29" s="71"/>
      <c r="M29" s="71"/>
      <c r="N29" s="71"/>
      <c r="O29" s="71"/>
      <c r="P29" s="71"/>
      <c r="Q29" s="102"/>
      <c r="S29" s="103" t="s">
        <v>30</v>
      </c>
      <c r="T29" s="71"/>
      <c r="U29" s="101"/>
      <c r="V29" s="99"/>
      <c r="W29" s="71"/>
      <c r="X29" s="99"/>
      <c r="Y29" s="99"/>
      <c r="Z29" s="104">
        <v>216</v>
      </c>
      <c r="AA29" s="101"/>
      <c r="AB29" s="102"/>
      <c r="AC29" s="120" t="s">
        <v>84</v>
      </c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04"/>
      <c r="AQ29" s="71"/>
      <c r="AR29" s="71"/>
      <c r="AS29" s="71"/>
      <c r="AT29" s="71"/>
    </row>
    <row r="30" spans="1:151" s="88" customFormat="1" ht="14.25" customHeight="1">
      <c r="A30" s="71" t="s">
        <v>89</v>
      </c>
      <c r="B30" s="119">
        <v>300</v>
      </c>
      <c r="C30" s="81"/>
      <c r="D30" s="81"/>
      <c r="E30" s="71" t="s">
        <v>89</v>
      </c>
      <c r="F30" s="173"/>
      <c r="G30" s="81"/>
      <c r="H30" s="91"/>
      <c r="J30" s="105" t="s">
        <v>53</v>
      </c>
      <c r="K30" s="119"/>
      <c r="L30" s="81"/>
      <c r="M30" s="81"/>
      <c r="N30" s="71"/>
      <c r="O30" s="81"/>
      <c r="P30" s="81"/>
      <c r="Q30" s="91"/>
      <c r="S30" s="103" t="s">
        <v>21</v>
      </c>
      <c r="T30" s="81"/>
      <c r="U30" s="113"/>
      <c r="V30" s="90"/>
      <c r="W30" s="81"/>
      <c r="X30" s="90"/>
      <c r="Y30" s="90"/>
      <c r="Z30" s="111"/>
      <c r="AA30" s="90"/>
      <c r="AB30" s="91"/>
      <c r="AC30" s="103" t="s">
        <v>21</v>
      </c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11"/>
      <c r="AQ30" s="81"/>
      <c r="AR30" s="81"/>
      <c r="AS30" s="81"/>
      <c r="AT30" s="8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</row>
    <row r="31" spans="1:151" ht="14.25" customHeight="1">
      <c r="A31" s="128" t="s">
        <v>18</v>
      </c>
      <c r="B31" s="120">
        <v>1600</v>
      </c>
      <c r="C31" s="71"/>
      <c r="D31" s="71"/>
      <c r="E31" s="71"/>
      <c r="F31" s="71"/>
      <c r="G31" s="71"/>
      <c r="H31" s="102"/>
      <c r="J31" s="206" t="s">
        <v>18</v>
      </c>
      <c r="K31" s="120">
        <v>200</v>
      </c>
      <c r="L31" s="71"/>
      <c r="M31" s="71"/>
      <c r="N31" s="71"/>
      <c r="O31" s="71"/>
      <c r="P31" s="71"/>
      <c r="Q31" s="102"/>
      <c r="S31" s="105" t="s">
        <v>100</v>
      </c>
      <c r="T31" s="71"/>
      <c r="U31" s="101"/>
      <c r="V31" s="99"/>
      <c r="W31" s="71"/>
      <c r="X31" s="101"/>
      <c r="Y31" s="99"/>
      <c r="Z31" s="104">
        <v>400</v>
      </c>
      <c r="AA31" s="101"/>
      <c r="AB31" s="102"/>
      <c r="AC31" s="71" t="s">
        <v>18</v>
      </c>
      <c r="AD31" s="123"/>
      <c r="AE31" s="123"/>
      <c r="AF31" s="123"/>
      <c r="AG31" s="123"/>
      <c r="AH31" s="123"/>
      <c r="AI31" s="123"/>
      <c r="AJ31" s="123"/>
      <c r="AK31" s="123"/>
      <c r="AL31" s="123"/>
      <c r="AM31" s="225"/>
      <c r="AN31" s="123"/>
      <c r="AO31" s="123"/>
      <c r="AP31" s="71"/>
      <c r="AQ31" s="71"/>
      <c r="AR31" s="71"/>
      <c r="AS31" s="71"/>
      <c r="AT31" s="71"/>
    </row>
    <row r="32" spans="1:151" s="88" customFormat="1" ht="14.25" customHeight="1">
      <c r="A32" s="100" t="s">
        <v>53</v>
      </c>
      <c r="B32" s="119">
        <v>1200</v>
      </c>
      <c r="C32" s="81"/>
      <c r="D32" s="81"/>
      <c r="E32" s="81"/>
      <c r="F32" s="81"/>
      <c r="G32" s="81"/>
      <c r="H32" s="91"/>
      <c r="J32" s="105" t="s">
        <v>19</v>
      </c>
      <c r="K32" s="119"/>
      <c r="L32" s="81"/>
      <c r="M32" s="81"/>
      <c r="N32" s="81"/>
      <c r="O32" s="81"/>
      <c r="P32" s="81"/>
      <c r="Q32" s="91"/>
      <c r="S32" s="103" t="s">
        <v>116</v>
      </c>
      <c r="T32" s="81"/>
      <c r="U32" s="113"/>
      <c r="V32" s="90"/>
      <c r="W32" s="111"/>
      <c r="X32" s="90"/>
      <c r="Y32" s="90"/>
      <c r="Z32" s="111">
        <v>400</v>
      </c>
      <c r="AA32" s="113"/>
      <c r="AB32" s="91"/>
      <c r="AC32" s="105" t="s">
        <v>76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11">
        <v>600</v>
      </c>
      <c r="AQ32" s="81"/>
      <c r="AR32" s="81"/>
      <c r="AS32" s="81"/>
      <c r="AT32" s="8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</row>
    <row r="33" spans="1:151" ht="14.25" customHeight="1">
      <c r="A33" s="120" t="s">
        <v>49</v>
      </c>
      <c r="B33" s="120">
        <v>300</v>
      </c>
      <c r="C33" s="71"/>
      <c r="D33" s="71"/>
      <c r="E33" s="71"/>
      <c r="F33" s="71"/>
      <c r="G33" s="71"/>
      <c r="H33" s="102"/>
      <c r="J33" s="206" t="s">
        <v>49</v>
      </c>
      <c r="K33" s="120">
        <v>450</v>
      </c>
      <c r="L33" s="71"/>
      <c r="M33" s="71"/>
      <c r="N33" s="71"/>
      <c r="O33" s="71"/>
      <c r="P33" s="71"/>
      <c r="Q33" s="102"/>
      <c r="S33" s="105" t="s">
        <v>28</v>
      </c>
      <c r="T33" s="71"/>
      <c r="U33" s="101"/>
      <c r="V33" s="99"/>
      <c r="W33" s="71"/>
      <c r="X33" s="99"/>
      <c r="Y33" s="99"/>
      <c r="Z33" s="104"/>
      <c r="AA33" s="101"/>
      <c r="AB33" s="102"/>
      <c r="AC33" s="103" t="s">
        <v>38</v>
      </c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04" t="s">
        <v>216</v>
      </c>
      <c r="AQ33" s="71"/>
      <c r="AR33" s="71"/>
      <c r="AS33" s="71"/>
      <c r="AT33" s="71"/>
    </row>
    <row r="34" spans="1:151" s="88" customFormat="1" ht="14.25" customHeight="1">
      <c r="A34" s="121"/>
      <c r="B34" s="191"/>
      <c r="C34" s="125"/>
      <c r="D34" s="125"/>
      <c r="E34" s="81"/>
      <c r="F34" s="125"/>
      <c r="G34" s="125"/>
      <c r="H34" s="126"/>
      <c r="J34" s="105" t="s">
        <v>79</v>
      </c>
      <c r="K34" s="119"/>
      <c r="L34" s="81"/>
      <c r="M34" s="81"/>
      <c r="N34" s="117"/>
      <c r="O34" s="81"/>
      <c r="P34" s="81"/>
      <c r="Q34" s="91"/>
      <c r="S34" s="105" t="s">
        <v>24</v>
      </c>
      <c r="T34" s="81"/>
      <c r="U34" s="113"/>
      <c r="V34" s="90"/>
      <c r="W34" s="81"/>
      <c r="X34" s="90"/>
      <c r="Y34" s="90"/>
      <c r="Z34" s="111"/>
      <c r="AA34" s="113"/>
      <c r="AB34" s="91"/>
      <c r="AC34" s="103" t="s">
        <v>16</v>
      </c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81"/>
      <c r="AQ34" s="81"/>
      <c r="AR34" s="81"/>
      <c r="AS34" s="81"/>
      <c r="AT34" s="8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</row>
    <row r="35" spans="1:151" ht="14.25" customHeight="1">
      <c r="A35" s="105" t="s">
        <v>118</v>
      </c>
      <c r="B35" s="120"/>
      <c r="C35" s="71"/>
      <c r="D35" s="71"/>
      <c r="E35" s="71"/>
      <c r="F35" s="71"/>
      <c r="G35" s="71"/>
      <c r="H35" s="102"/>
      <c r="J35" s="105" t="s">
        <v>97</v>
      </c>
      <c r="K35" s="120"/>
      <c r="L35" s="71"/>
      <c r="M35" s="71"/>
      <c r="N35" s="103"/>
      <c r="O35" s="71"/>
      <c r="P35" s="71"/>
      <c r="Q35" s="102"/>
      <c r="S35" s="105" t="s">
        <v>27</v>
      </c>
      <c r="T35" s="71"/>
      <c r="U35" s="101"/>
      <c r="V35" s="99"/>
      <c r="W35" s="71"/>
      <c r="X35" s="99"/>
      <c r="Y35" s="99"/>
      <c r="Z35" s="104"/>
      <c r="AA35" s="101"/>
      <c r="AB35" s="102"/>
      <c r="AC35" s="105" t="s">
        <v>28</v>
      </c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71"/>
      <c r="AQ35" s="71"/>
      <c r="AR35" s="71"/>
      <c r="AS35" s="71">
        <v>300</v>
      </c>
      <c r="AT35" s="71"/>
    </row>
    <row r="36" spans="1:151" s="88" customFormat="1" ht="14.25" customHeight="1">
      <c r="A36" s="129" t="s">
        <v>93</v>
      </c>
      <c r="B36" s="192"/>
      <c r="C36" s="123"/>
      <c r="D36" s="123"/>
      <c r="E36" s="123"/>
      <c r="F36" s="123"/>
      <c r="G36" s="123"/>
      <c r="H36" s="130"/>
      <c r="J36" s="117"/>
      <c r="K36" s="119"/>
      <c r="L36" s="81"/>
      <c r="M36" s="81"/>
      <c r="N36" s="114" t="s">
        <v>16</v>
      </c>
      <c r="O36" s="81"/>
      <c r="P36" s="81"/>
      <c r="Q36" s="91"/>
      <c r="S36" s="103" t="s">
        <v>29</v>
      </c>
      <c r="T36" s="81"/>
      <c r="U36" s="113"/>
      <c r="V36" s="90"/>
      <c r="W36" s="81"/>
      <c r="X36" s="90"/>
      <c r="Y36" s="90"/>
      <c r="Z36" s="111"/>
      <c r="AA36" s="113"/>
      <c r="AB36" s="91"/>
      <c r="AC36" s="105" t="s">
        <v>24</v>
      </c>
      <c r="AD36" s="125"/>
      <c r="AE36" s="123"/>
      <c r="AF36" s="123"/>
      <c r="AG36" s="125"/>
      <c r="AH36" s="123"/>
      <c r="AI36" s="123"/>
      <c r="AJ36" s="125"/>
      <c r="AK36" s="123"/>
      <c r="AL36" s="123"/>
      <c r="AM36" s="125"/>
      <c r="AN36" s="123"/>
      <c r="AO36" s="123"/>
      <c r="AP36" s="81"/>
      <c r="AQ36" s="71"/>
      <c r="AR36" s="71"/>
      <c r="AS36" s="81">
        <v>300</v>
      </c>
      <c r="AT36" s="8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</row>
    <row r="37" spans="1:151" ht="14.25" customHeight="1">
      <c r="A37" s="105" t="s">
        <v>94</v>
      </c>
      <c r="B37" s="120"/>
      <c r="C37" s="71"/>
      <c r="D37" s="71"/>
      <c r="E37" s="71"/>
      <c r="F37" s="71"/>
      <c r="G37" s="71"/>
      <c r="H37" s="102"/>
      <c r="J37" s="105"/>
      <c r="K37" s="120"/>
      <c r="L37" s="71"/>
      <c r="M37" s="71"/>
      <c r="N37" s="71"/>
      <c r="O37" s="71"/>
      <c r="P37" s="71"/>
      <c r="Q37" s="102"/>
      <c r="S37" s="105" t="s">
        <v>26</v>
      </c>
      <c r="T37" s="71"/>
      <c r="U37" s="101"/>
      <c r="V37" s="99"/>
      <c r="W37" s="71"/>
      <c r="X37" s="99"/>
      <c r="Y37" s="99"/>
      <c r="Z37" s="104"/>
      <c r="AA37" s="101"/>
      <c r="AB37" s="102"/>
      <c r="AC37" s="105" t="s">
        <v>27</v>
      </c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71"/>
      <c r="AQ37" s="71"/>
      <c r="AR37" s="71"/>
      <c r="AS37" s="71">
        <v>600</v>
      </c>
      <c r="AT37" s="71"/>
    </row>
    <row r="38" spans="1:151" s="88" customFormat="1" ht="14.25" customHeight="1">
      <c r="A38" s="117"/>
      <c r="B38" s="119"/>
      <c r="C38" s="81"/>
      <c r="D38" s="81"/>
      <c r="E38" s="81"/>
      <c r="F38" s="81"/>
      <c r="G38" s="81"/>
      <c r="H38" s="91"/>
      <c r="J38" s="161" t="s">
        <v>106</v>
      </c>
      <c r="K38" s="119"/>
      <c r="L38" s="81"/>
      <c r="M38" s="81"/>
      <c r="N38" s="81"/>
      <c r="O38" s="81"/>
      <c r="P38" s="81"/>
      <c r="Q38" s="91"/>
      <c r="S38" s="103" t="s">
        <v>25</v>
      </c>
      <c r="T38" s="81"/>
      <c r="U38" s="113"/>
      <c r="V38" s="90"/>
      <c r="W38" s="81"/>
      <c r="X38" s="90"/>
      <c r="Y38" s="90"/>
      <c r="Z38" s="111"/>
      <c r="AA38" s="113"/>
      <c r="AB38" s="91"/>
      <c r="AC38" s="103" t="s">
        <v>29</v>
      </c>
      <c r="AD38" s="81"/>
      <c r="AE38" s="71"/>
      <c r="AF38" s="71"/>
      <c r="AG38" s="81"/>
      <c r="AH38" s="71"/>
      <c r="AI38" s="71"/>
      <c r="AJ38" s="81"/>
      <c r="AK38" s="71"/>
      <c r="AL38" s="71"/>
      <c r="AM38" s="81"/>
      <c r="AN38" s="71"/>
      <c r="AO38" s="71"/>
      <c r="AP38" s="81"/>
      <c r="AQ38" s="71"/>
      <c r="AR38" s="71"/>
      <c r="AS38" s="81">
        <v>300</v>
      </c>
      <c r="AT38" s="8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</row>
    <row r="39" spans="1:151" ht="14.25" customHeight="1">
      <c r="A39" s="105"/>
      <c r="B39" s="120"/>
      <c r="C39" s="71"/>
      <c r="D39" s="71"/>
      <c r="E39" s="71"/>
      <c r="F39" s="71"/>
      <c r="G39" s="71"/>
      <c r="H39" s="102"/>
      <c r="J39" s="105" t="s">
        <v>107</v>
      </c>
      <c r="K39" s="196"/>
      <c r="L39" s="71"/>
      <c r="M39" s="71"/>
      <c r="N39" s="71"/>
      <c r="O39" s="71"/>
      <c r="P39" s="71"/>
      <c r="Q39" s="102"/>
      <c r="S39" s="105" t="s">
        <v>48</v>
      </c>
      <c r="T39" s="71"/>
      <c r="U39" s="101"/>
      <c r="V39" s="99"/>
      <c r="W39" s="71"/>
      <c r="X39" s="99"/>
      <c r="Y39" s="99"/>
      <c r="Z39" s="104"/>
      <c r="AA39" s="101"/>
      <c r="AB39" s="102"/>
      <c r="AC39" s="105" t="s">
        <v>26</v>
      </c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>
        <v>300</v>
      </c>
      <c r="AT39" s="71"/>
    </row>
    <row r="40" spans="1:151" s="88" customFormat="1" ht="14.25" customHeight="1">
      <c r="A40" s="117"/>
      <c r="B40" s="119"/>
      <c r="C40" s="81"/>
      <c r="D40" s="81"/>
      <c r="E40" s="81"/>
      <c r="F40" s="81"/>
      <c r="G40" s="81"/>
      <c r="H40" s="91"/>
      <c r="J40" s="117" t="s">
        <v>52</v>
      </c>
      <c r="K40" s="197"/>
      <c r="L40" s="81"/>
      <c r="M40" s="81"/>
      <c r="N40" s="81"/>
      <c r="O40" s="81"/>
      <c r="P40" s="81"/>
      <c r="Q40" s="91"/>
      <c r="S40" s="105" t="s">
        <v>50</v>
      </c>
      <c r="T40" s="81"/>
      <c r="U40" s="113"/>
      <c r="V40" s="90"/>
      <c r="W40" s="81"/>
      <c r="X40" s="90"/>
      <c r="Y40" s="90"/>
      <c r="Z40" s="111"/>
      <c r="AA40" s="113"/>
      <c r="AB40" s="91"/>
      <c r="AC40" s="103" t="s">
        <v>25</v>
      </c>
      <c r="AD40" s="81"/>
      <c r="AE40" s="71"/>
      <c r="AF40" s="71"/>
      <c r="AG40" s="81"/>
      <c r="AH40" s="71"/>
      <c r="AI40" s="71"/>
      <c r="AJ40" s="81"/>
      <c r="AK40" s="71"/>
      <c r="AL40" s="71"/>
      <c r="AM40" s="81"/>
      <c r="AN40" s="71"/>
      <c r="AO40" s="71"/>
      <c r="AP40" s="81"/>
      <c r="AQ40" s="71"/>
      <c r="AR40" s="71"/>
      <c r="AS40" s="81">
        <v>300</v>
      </c>
      <c r="AT40" s="8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</row>
    <row r="41" spans="1:151" ht="14.25" customHeight="1">
      <c r="A41" s="105"/>
      <c r="B41" s="120"/>
      <c r="C41" s="71"/>
      <c r="D41" s="71"/>
      <c r="E41" s="71"/>
      <c r="F41" s="71"/>
      <c r="G41" s="71"/>
      <c r="H41" s="102"/>
      <c r="J41" s="105" t="s">
        <v>62</v>
      </c>
      <c r="K41" s="196"/>
      <c r="L41" s="71"/>
      <c r="M41" s="71"/>
      <c r="N41" s="71"/>
      <c r="O41" s="71"/>
      <c r="P41" s="71"/>
      <c r="Q41" s="102"/>
      <c r="S41" s="121" t="s">
        <v>117</v>
      </c>
      <c r="T41" s="71"/>
      <c r="U41" s="101"/>
      <c r="V41" s="99"/>
      <c r="W41" s="71"/>
      <c r="X41" s="99"/>
      <c r="Y41" s="99"/>
      <c r="Z41" s="104">
        <v>400</v>
      </c>
      <c r="AA41" s="101"/>
      <c r="AB41" s="102"/>
      <c r="AC41" s="105" t="s">
        <v>48</v>
      </c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>
        <v>300</v>
      </c>
      <c r="AT41" s="71"/>
    </row>
    <row r="42" spans="1:151" s="88" customFormat="1" ht="14.25" customHeight="1">
      <c r="A42" s="117"/>
      <c r="B42" s="119"/>
      <c r="C42" s="81"/>
      <c r="D42" s="81"/>
      <c r="E42" s="81"/>
      <c r="F42" s="81"/>
      <c r="G42" s="81"/>
      <c r="H42" s="91"/>
      <c r="J42" s="117"/>
      <c r="K42" s="81"/>
      <c r="L42" s="81"/>
      <c r="M42" s="81"/>
      <c r="N42" s="114"/>
      <c r="O42" s="81"/>
      <c r="P42" s="81"/>
      <c r="Q42" s="91"/>
      <c r="S42" s="123" t="s">
        <v>101</v>
      </c>
      <c r="T42" s="81"/>
      <c r="U42" s="113"/>
      <c r="V42" s="90"/>
      <c r="W42" s="81"/>
      <c r="X42" s="90"/>
      <c r="Y42" s="90"/>
      <c r="Z42" s="111">
        <v>800</v>
      </c>
      <c r="AA42" s="90"/>
      <c r="AB42" s="91"/>
      <c r="AC42" s="105" t="s">
        <v>115</v>
      </c>
      <c r="AD42" s="81"/>
      <c r="AE42" s="71"/>
      <c r="AF42" s="71"/>
      <c r="AG42" s="81"/>
      <c r="AH42" s="71"/>
      <c r="AI42" s="71"/>
      <c r="AJ42" s="81"/>
      <c r="AK42" s="71"/>
      <c r="AL42" s="71"/>
      <c r="AM42" s="81"/>
      <c r="AN42" s="71"/>
      <c r="AO42" s="71"/>
      <c r="AP42" s="81"/>
      <c r="AQ42" s="71"/>
      <c r="AR42" s="71"/>
      <c r="AS42" s="81"/>
      <c r="AT42" s="8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</row>
    <row r="43" spans="1:151" s="88" customFormat="1" ht="14.25" customHeight="1">
      <c r="A43" s="105"/>
      <c r="B43" s="120"/>
      <c r="C43" s="71"/>
      <c r="D43" s="71"/>
      <c r="E43" s="71"/>
      <c r="F43" s="71"/>
      <c r="G43" s="71"/>
      <c r="H43" s="102"/>
      <c r="I43" s="61"/>
      <c r="J43" s="105"/>
      <c r="K43" s="71"/>
      <c r="L43" s="71"/>
      <c r="M43" s="71"/>
      <c r="N43" s="115"/>
      <c r="O43" s="71"/>
      <c r="P43" s="71"/>
      <c r="Q43" s="102"/>
      <c r="R43" s="61"/>
      <c r="S43" s="128" t="s">
        <v>102</v>
      </c>
      <c r="T43" s="71"/>
      <c r="U43" s="101"/>
      <c r="V43" s="99"/>
      <c r="W43" s="71"/>
      <c r="X43" s="99"/>
      <c r="Y43" s="99"/>
      <c r="Z43" s="104">
        <v>400</v>
      </c>
      <c r="AA43" s="99"/>
      <c r="AB43" s="102"/>
      <c r="AC43" s="129" t="s">
        <v>10</v>
      </c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</row>
    <row r="44" spans="1:151" s="88" customFormat="1" ht="14.25" customHeight="1">
      <c r="A44" s="117"/>
      <c r="B44" s="119"/>
      <c r="C44" s="81"/>
      <c r="D44" s="81"/>
      <c r="E44" s="81"/>
      <c r="F44" s="81"/>
      <c r="G44" s="81"/>
      <c r="H44" s="91"/>
      <c r="J44" s="117"/>
      <c r="K44" s="81"/>
      <c r="L44" s="81"/>
      <c r="M44" s="81"/>
      <c r="N44" s="112"/>
      <c r="O44" s="81"/>
      <c r="P44" s="81"/>
      <c r="Q44" s="91"/>
      <c r="S44" s="128" t="s">
        <v>103</v>
      </c>
      <c r="T44" s="81"/>
      <c r="U44" s="113"/>
      <c r="V44" s="90"/>
      <c r="W44" s="81"/>
      <c r="X44" s="90"/>
      <c r="Y44" s="90"/>
      <c r="Z44" s="111">
        <v>400</v>
      </c>
      <c r="AA44" s="90"/>
      <c r="AB44" s="91"/>
      <c r="AC44" s="129" t="s">
        <v>105</v>
      </c>
      <c r="AD44" s="81"/>
      <c r="AE44" s="71"/>
      <c r="AF44" s="71"/>
      <c r="AG44" s="81"/>
      <c r="AH44" s="71"/>
      <c r="AI44" s="71"/>
      <c r="AJ44" s="81"/>
      <c r="AK44" s="71"/>
      <c r="AL44" s="71"/>
      <c r="AM44" s="81"/>
      <c r="AN44" s="71"/>
      <c r="AO44" s="71"/>
      <c r="AP44" s="81"/>
      <c r="AQ44" s="71"/>
      <c r="AR44" s="71"/>
      <c r="AS44" s="81"/>
      <c r="AT44" s="8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</row>
    <row r="45" spans="1:151" ht="14.25" customHeight="1">
      <c r="A45" s="105"/>
      <c r="B45" s="120"/>
      <c r="C45" s="71"/>
      <c r="D45" s="71"/>
      <c r="E45" s="71"/>
      <c r="F45" s="71"/>
      <c r="G45" s="71"/>
      <c r="H45" s="102"/>
      <c r="J45" s="105"/>
      <c r="K45" s="71"/>
      <c r="L45" s="71"/>
      <c r="M45" s="71"/>
      <c r="N45" s="71"/>
      <c r="O45" s="71"/>
      <c r="P45" s="71"/>
      <c r="Q45" s="102"/>
      <c r="S45" s="103" t="s">
        <v>20</v>
      </c>
      <c r="T45" s="71"/>
      <c r="U45" s="101"/>
      <c r="V45" s="99"/>
      <c r="W45" s="104">
        <v>1000</v>
      </c>
      <c r="X45" s="99"/>
      <c r="Y45" s="99"/>
      <c r="Z45" s="104"/>
      <c r="AA45" s="99"/>
      <c r="AB45" s="102"/>
      <c r="AC45" s="121" t="s">
        <v>83</v>
      </c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</row>
    <row r="46" spans="1:151" s="88" customFormat="1" ht="14.25" customHeight="1">
      <c r="A46" s="117"/>
      <c r="B46" s="119"/>
      <c r="C46" s="81"/>
      <c r="D46" s="81"/>
      <c r="E46" s="81"/>
      <c r="F46" s="81"/>
      <c r="G46" s="81"/>
      <c r="H46" s="91"/>
      <c r="J46" s="117"/>
      <c r="K46" s="81"/>
      <c r="L46" s="81"/>
      <c r="M46" s="81"/>
      <c r="N46" s="81"/>
      <c r="O46" s="81"/>
      <c r="P46" s="81"/>
      <c r="Q46" s="91"/>
      <c r="S46" s="123" t="s">
        <v>55</v>
      </c>
      <c r="T46" s="125"/>
      <c r="U46" s="131"/>
      <c r="V46" s="124"/>
      <c r="W46" s="159">
        <v>1000</v>
      </c>
      <c r="X46" s="124"/>
      <c r="Y46" s="124"/>
      <c r="Z46" s="159"/>
      <c r="AA46" s="124"/>
      <c r="AB46" s="126"/>
      <c r="AC46" s="123" t="s">
        <v>55</v>
      </c>
      <c r="AD46" s="81"/>
      <c r="AE46" s="71"/>
      <c r="AF46" s="71"/>
      <c r="AG46" s="81"/>
      <c r="AH46" s="71"/>
      <c r="AI46" s="71"/>
      <c r="AJ46" s="81"/>
      <c r="AK46" s="71"/>
      <c r="AL46" s="71"/>
      <c r="AM46" s="81"/>
      <c r="AN46" s="71"/>
      <c r="AO46" s="71"/>
      <c r="AP46" s="81"/>
      <c r="AQ46" s="71"/>
      <c r="AR46" s="71"/>
      <c r="AS46" s="81"/>
      <c r="AT46" s="8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</row>
    <row r="47" spans="1:151" ht="14.25" customHeight="1">
      <c r="A47" s="105"/>
      <c r="B47" s="120"/>
      <c r="C47" s="71"/>
      <c r="D47" s="71"/>
      <c r="E47" s="71"/>
      <c r="F47" s="71"/>
      <c r="G47" s="71"/>
      <c r="H47" s="102"/>
      <c r="J47" s="105"/>
      <c r="K47" s="71"/>
      <c r="L47" s="71"/>
      <c r="M47" s="71"/>
      <c r="N47" s="71"/>
      <c r="O47" s="71"/>
      <c r="P47" s="71"/>
      <c r="Q47" s="102"/>
      <c r="S47" s="103" t="s">
        <v>22</v>
      </c>
      <c r="T47" s="71"/>
      <c r="U47" s="101"/>
      <c r="V47" s="99"/>
      <c r="W47" s="71">
        <v>800</v>
      </c>
      <c r="X47" s="99"/>
      <c r="Y47" s="99"/>
      <c r="Z47" s="104">
        <v>250</v>
      </c>
      <c r="AA47" s="99"/>
      <c r="AB47" s="102"/>
      <c r="AC47" s="103" t="s">
        <v>22</v>
      </c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>
        <v>200</v>
      </c>
      <c r="AQ47" s="71"/>
      <c r="AR47" s="71"/>
      <c r="AS47" s="71"/>
      <c r="AT47" s="71"/>
    </row>
    <row r="48" spans="1:151" s="88" customFormat="1" ht="14.25" customHeight="1">
      <c r="A48" s="117"/>
      <c r="B48" s="119"/>
      <c r="C48" s="81"/>
      <c r="D48" s="81"/>
      <c r="E48" s="81"/>
      <c r="F48" s="81"/>
      <c r="G48" s="81"/>
      <c r="H48" s="91"/>
      <c r="J48" s="117"/>
      <c r="K48" s="81"/>
      <c r="L48" s="81"/>
      <c r="M48" s="81"/>
      <c r="N48" s="81"/>
      <c r="O48" s="81"/>
      <c r="P48" s="81"/>
      <c r="Q48" s="91"/>
      <c r="S48" s="105" t="s">
        <v>54</v>
      </c>
      <c r="T48" s="125"/>
      <c r="U48" s="131"/>
      <c r="V48" s="124"/>
      <c r="W48" s="159">
        <v>600</v>
      </c>
      <c r="X48" s="90"/>
      <c r="Y48" s="90"/>
      <c r="Z48" s="159"/>
      <c r="AA48" s="124"/>
      <c r="AB48" s="126"/>
      <c r="AC48" s="121" t="s">
        <v>42</v>
      </c>
      <c r="AD48" s="81">
        <v>400</v>
      </c>
      <c r="AE48" s="71"/>
      <c r="AF48" s="71"/>
      <c r="AG48" s="81"/>
      <c r="AH48" s="71"/>
      <c r="AI48" s="71"/>
      <c r="AJ48" s="81"/>
      <c r="AK48" s="71"/>
      <c r="AL48" s="71"/>
      <c r="AM48" s="81"/>
      <c r="AN48" s="71"/>
      <c r="AO48" s="71"/>
      <c r="AP48" s="81"/>
      <c r="AQ48" s="71"/>
      <c r="AR48" s="71"/>
      <c r="AS48" s="81"/>
      <c r="AT48" s="8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</row>
    <row r="49" spans="1:151" ht="14.25" customHeight="1">
      <c r="A49" s="105"/>
      <c r="B49" s="120"/>
      <c r="C49" s="71"/>
      <c r="D49" s="71"/>
      <c r="E49" s="71"/>
      <c r="F49" s="71"/>
      <c r="G49" s="71"/>
      <c r="H49" s="102"/>
      <c r="J49" s="105"/>
      <c r="K49" s="71"/>
      <c r="L49" s="71"/>
      <c r="M49" s="71"/>
      <c r="N49" s="71"/>
      <c r="O49" s="71"/>
      <c r="P49" s="71"/>
      <c r="Q49" s="102"/>
      <c r="S49" s="105" t="s">
        <v>52</v>
      </c>
      <c r="T49" s="168"/>
      <c r="U49" s="101"/>
      <c r="V49" s="99"/>
      <c r="W49" s="159"/>
      <c r="X49" s="99"/>
      <c r="Y49" s="99"/>
      <c r="Z49" s="104"/>
      <c r="AA49" s="99"/>
      <c r="AB49" s="102"/>
      <c r="AC49" s="103" t="s">
        <v>43</v>
      </c>
      <c r="AD49" s="71"/>
      <c r="AE49" s="71"/>
      <c r="AF49" s="71"/>
      <c r="AG49" s="71"/>
      <c r="AH49" s="71"/>
      <c r="AI49" s="71"/>
      <c r="AJ49" s="71"/>
      <c r="AK49" s="71"/>
      <c r="AL49" s="71"/>
      <c r="AM49" s="71">
        <v>400</v>
      </c>
      <c r="AN49" s="71"/>
      <c r="AO49" s="71"/>
      <c r="AP49" s="71"/>
      <c r="AQ49" s="71"/>
      <c r="AR49" s="71"/>
      <c r="AS49" s="71"/>
      <c r="AT49" s="71"/>
    </row>
    <row r="50" spans="1:151" s="88" customFormat="1" ht="14.25" customHeight="1">
      <c r="A50" s="117"/>
      <c r="B50" s="119"/>
      <c r="C50" s="81"/>
      <c r="D50" s="81"/>
      <c r="E50" s="81"/>
      <c r="F50" s="81"/>
      <c r="G50" s="81"/>
      <c r="H50" s="91"/>
      <c r="J50" s="117"/>
      <c r="K50" s="81"/>
      <c r="L50" s="81"/>
      <c r="M50" s="81"/>
      <c r="N50" s="81"/>
      <c r="O50" s="81"/>
      <c r="P50" s="81"/>
      <c r="Q50" s="91"/>
      <c r="S50" s="105" t="s">
        <v>62</v>
      </c>
      <c r="T50" s="168"/>
      <c r="U50" s="113"/>
      <c r="V50" s="90"/>
      <c r="W50" s="81"/>
      <c r="X50" s="90"/>
      <c r="Y50" s="90"/>
      <c r="Z50" s="111"/>
      <c r="AA50" s="90"/>
      <c r="AB50" s="91"/>
      <c r="AC50" s="105" t="s">
        <v>19</v>
      </c>
      <c r="AD50" s="81"/>
      <c r="AE50" s="71"/>
      <c r="AF50" s="71"/>
      <c r="AG50" s="111"/>
      <c r="AH50" s="71"/>
      <c r="AI50" s="71"/>
      <c r="AJ50" s="81"/>
      <c r="AK50" s="71"/>
      <c r="AL50" s="71"/>
      <c r="AM50" s="81"/>
      <c r="AN50" s="71"/>
      <c r="AO50" s="71"/>
      <c r="AP50" s="81"/>
      <c r="AQ50" s="71"/>
      <c r="AR50" s="71"/>
      <c r="AS50" s="81"/>
      <c r="AT50" s="8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</row>
    <row r="51" spans="1:151" ht="14.25" customHeight="1">
      <c r="A51" s="105"/>
      <c r="B51" s="120"/>
      <c r="C51" s="71"/>
      <c r="D51" s="71"/>
      <c r="E51" s="71"/>
      <c r="F51" s="71"/>
      <c r="G51" s="71"/>
      <c r="H51" s="102"/>
      <c r="J51" s="105"/>
      <c r="K51" s="71"/>
      <c r="L51" s="71"/>
      <c r="M51" s="71"/>
      <c r="N51" s="71"/>
      <c r="O51" s="71"/>
      <c r="P51" s="71"/>
      <c r="Q51" s="102"/>
      <c r="S51" s="103" t="s">
        <v>60</v>
      </c>
      <c r="T51" s="165"/>
      <c r="U51" s="101"/>
      <c r="V51" s="99"/>
      <c r="W51" s="132"/>
      <c r="X51" s="99"/>
      <c r="Y51" s="99"/>
      <c r="Z51" s="164"/>
      <c r="AA51" s="71"/>
      <c r="AB51" s="102"/>
      <c r="AC51" s="103" t="s">
        <v>17</v>
      </c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</row>
    <row r="52" spans="1:151" s="88" customFormat="1" ht="14.25" customHeight="1">
      <c r="A52" s="117"/>
      <c r="B52" s="119"/>
      <c r="C52" s="81"/>
      <c r="D52" s="81"/>
      <c r="E52" s="81"/>
      <c r="F52" s="81"/>
      <c r="G52" s="81"/>
      <c r="H52" s="91"/>
      <c r="J52" s="117"/>
      <c r="L52" s="81"/>
      <c r="M52" s="81"/>
      <c r="N52" s="81"/>
      <c r="O52" s="81"/>
      <c r="P52" s="81"/>
      <c r="Q52" s="91"/>
      <c r="R52" s="133"/>
      <c r="S52" s="105" t="s">
        <v>157</v>
      </c>
      <c r="T52" s="169">
        <v>90</v>
      </c>
      <c r="U52" s="131"/>
      <c r="V52" s="124"/>
      <c r="W52" s="125"/>
      <c r="X52" s="90"/>
      <c r="Y52" s="90"/>
      <c r="Z52" s="111"/>
      <c r="AA52" s="125"/>
      <c r="AB52" s="126"/>
      <c r="AC52" s="105" t="s">
        <v>58</v>
      </c>
      <c r="AD52" s="81"/>
      <c r="AE52" s="71"/>
      <c r="AF52" s="71"/>
      <c r="AG52" s="81"/>
      <c r="AH52" s="71"/>
      <c r="AI52" s="71"/>
      <c r="AJ52" s="81"/>
      <c r="AK52" s="71"/>
      <c r="AL52" s="71"/>
      <c r="AM52" s="81"/>
      <c r="AN52" s="71"/>
      <c r="AO52" s="71"/>
      <c r="AP52" s="81"/>
      <c r="AQ52" s="71"/>
      <c r="AR52" s="71"/>
      <c r="AS52" s="81"/>
      <c r="AT52" s="8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</row>
    <row r="53" spans="1:151" ht="14.25" customHeight="1">
      <c r="A53" s="105"/>
      <c r="B53" s="120"/>
      <c r="C53" s="71"/>
      <c r="D53" s="71"/>
      <c r="E53" s="71"/>
      <c r="F53" s="71"/>
      <c r="G53" s="71"/>
      <c r="H53" s="102"/>
      <c r="J53" s="105"/>
      <c r="K53" s="71"/>
      <c r="L53" s="71"/>
      <c r="M53" s="71"/>
      <c r="N53" s="71"/>
      <c r="O53" s="71"/>
      <c r="P53" s="71"/>
      <c r="Q53" s="102"/>
      <c r="R53" s="59"/>
      <c r="S53" s="105" t="s">
        <v>158</v>
      </c>
      <c r="T53" s="170">
        <v>90</v>
      </c>
      <c r="U53" s="101"/>
      <c r="V53" s="926"/>
      <c r="W53" s="927"/>
      <c r="X53" s="176"/>
      <c r="Y53" s="90"/>
      <c r="Z53" s="104"/>
      <c r="AA53" s="71"/>
      <c r="AB53" s="102"/>
      <c r="AC53" s="120" t="s">
        <v>54</v>
      </c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</row>
    <row r="54" spans="1:151" s="88" customFormat="1" ht="14.25" customHeight="1" thickBot="1">
      <c r="A54" s="134"/>
      <c r="B54" s="193"/>
      <c r="C54" s="135"/>
      <c r="D54" s="135"/>
      <c r="E54" s="135"/>
      <c r="F54" s="135"/>
      <c r="G54" s="135"/>
      <c r="H54" s="136"/>
      <c r="J54" s="134"/>
      <c r="K54" s="135"/>
      <c r="L54" s="135"/>
      <c r="M54" s="135"/>
      <c r="N54" s="135"/>
      <c r="O54" s="135"/>
      <c r="P54" s="135"/>
      <c r="Q54" s="136"/>
      <c r="R54" s="133"/>
      <c r="S54" s="137" t="s">
        <v>116</v>
      </c>
      <c r="T54" s="171">
        <v>10</v>
      </c>
      <c r="U54" s="928"/>
      <c r="V54" s="929"/>
      <c r="W54" s="135"/>
      <c r="X54" s="99"/>
      <c r="Y54" s="99"/>
      <c r="Z54" s="177"/>
      <c r="AA54" s="928"/>
      <c r="AB54" s="930"/>
      <c r="AC54" s="103" t="s">
        <v>101</v>
      </c>
      <c r="AD54" s="81"/>
      <c r="AE54" s="71"/>
      <c r="AF54" s="71"/>
      <c r="AG54" s="81"/>
      <c r="AH54" s="71"/>
      <c r="AI54" s="71"/>
      <c r="AJ54" s="81"/>
      <c r="AK54" s="71"/>
      <c r="AL54" s="71"/>
      <c r="AM54" s="81"/>
      <c r="AN54" s="71"/>
      <c r="AO54" s="71"/>
      <c r="AP54" s="81"/>
      <c r="AQ54" s="71"/>
      <c r="AR54" s="71"/>
      <c r="AS54" s="157"/>
      <c r="AT54" s="157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</row>
    <row r="55" spans="1:151"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spans="1:151">
      <c r="J56" s="59"/>
      <c r="K56" s="59"/>
      <c r="L56" s="59"/>
      <c r="M56" s="59"/>
      <c r="N56" s="59"/>
      <c r="O56" s="59"/>
      <c r="P56" s="59"/>
      <c r="Q56" s="59"/>
      <c r="R56" s="59"/>
      <c r="S56" s="59"/>
    </row>
    <row r="57" spans="1:151">
      <c r="J57" s="59"/>
      <c r="K57" s="59"/>
      <c r="L57" s="59"/>
      <c r="M57" s="59"/>
      <c r="N57" s="59"/>
      <c r="O57" s="59"/>
      <c r="P57" s="59"/>
      <c r="Q57" s="59"/>
      <c r="R57" s="59"/>
      <c r="S57" s="59"/>
    </row>
    <row r="58" spans="1:151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151">
      <c r="J59" s="59"/>
      <c r="K59" s="59"/>
      <c r="L59" s="59"/>
      <c r="M59" s="59"/>
      <c r="N59" s="59"/>
      <c r="O59" s="59"/>
      <c r="P59" s="59"/>
      <c r="Q59" s="59"/>
      <c r="R59" s="59"/>
      <c r="S59" s="59"/>
    </row>
    <row r="60" spans="1:151">
      <c r="J60" s="59"/>
      <c r="K60" s="59"/>
      <c r="L60" s="59"/>
      <c r="M60" s="59"/>
      <c r="N60" s="59"/>
      <c r="O60" s="59"/>
      <c r="P60" s="59"/>
      <c r="Q60" s="59"/>
      <c r="R60" s="59"/>
      <c r="S60" s="59"/>
    </row>
    <row r="61" spans="1:151">
      <c r="J61" s="59"/>
      <c r="K61" s="59"/>
      <c r="L61" s="59"/>
      <c r="M61" s="59"/>
      <c r="N61" s="59"/>
      <c r="O61" s="59"/>
      <c r="P61" s="59"/>
      <c r="Q61" s="59"/>
      <c r="R61" s="59"/>
      <c r="S61" s="59"/>
    </row>
    <row r="62" spans="1:151">
      <c r="J62" s="59"/>
      <c r="K62" s="59"/>
      <c r="L62" s="59"/>
      <c r="M62" s="59"/>
      <c r="N62" s="59"/>
      <c r="O62" s="59"/>
      <c r="P62" s="59"/>
      <c r="Q62" s="59"/>
      <c r="R62" s="59"/>
      <c r="S62" s="59"/>
    </row>
    <row r="63" spans="1:151">
      <c r="J63" s="59"/>
      <c r="K63" s="59"/>
      <c r="L63" s="59"/>
      <c r="M63" s="59"/>
      <c r="N63" s="59"/>
      <c r="O63" s="59"/>
      <c r="P63" s="59"/>
      <c r="Q63" s="59"/>
      <c r="R63" s="59"/>
      <c r="S63" s="59"/>
    </row>
    <row r="64" spans="1:151">
      <c r="J64" s="59"/>
      <c r="K64" s="59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59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59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59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59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59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59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59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59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59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59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</sheetData>
  <mergeCells count="51">
    <mergeCell ref="V53:W53"/>
    <mergeCell ref="U54:V54"/>
    <mergeCell ref="AA54:AB54"/>
    <mergeCell ref="AO6:AO7"/>
    <mergeCell ref="AP6:AP7"/>
    <mergeCell ref="AC6:AC7"/>
    <mergeCell ref="AD6:AD7"/>
    <mergeCell ref="AE6:AE7"/>
    <mergeCell ref="AF6:AF7"/>
    <mergeCell ref="AG6:AG7"/>
    <mergeCell ref="AH6:AH7"/>
    <mergeCell ref="AQ6:AQ7"/>
    <mergeCell ref="AR6:AR7"/>
    <mergeCell ref="AS6:AS7"/>
    <mergeCell ref="AT6:AT7"/>
    <mergeCell ref="AI6:AI7"/>
    <mergeCell ref="AJ6:AJ7"/>
    <mergeCell ref="AK6:AK7"/>
    <mergeCell ref="AL6:AL7"/>
    <mergeCell ref="AM6:AM7"/>
    <mergeCell ref="AN6:AN7"/>
    <mergeCell ref="AP5:AR5"/>
    <mergeCell ref="A6:A7"/>
    <mergeCell ref="B6:D6"/>
    <mergeCell ref="E6:E7"/>
    <mergeCell ref="F6:H6"/>
    <mergeCell ref="K6:K7"/>
    <mergeCell ref="O6:O7"/>
    <mergeCell ref="T6:T7"/>
    <mergeCell ref="W6:W7"/>
    <mergeCell ref="Z6:Z7"/>
    <mergeCell ref="W5:Y5"/>
    <mergeCell ref="Z5:AB5"/>
    <mergeCell ref="AD5:AF5"/>
    <mergeCell ref="AG5:AI5"/>
    <mergeCell ref="AJ5:AL5"/>
    <mergeCell ref="AM5:AO5"/>
    <mergeCell ref="T5:V5"/>
    <mergeCell ref="A1:H1"/>
    <mergeCell ref="J1:Q1"/>
    <mergeCell ref="S1:AB1"/>
    <mergeCell ref="AC1:AL1"/>
    <mergeCell ref="B4:C4"/>
    <mergeCell ref="K4:L4"/>
    <mergeCell ref="T4:V4"/>
    <mergeCell ref="AD4:AF4"/>
    <mergeCell ref="J5:J7"/>
    <mergeCell ref="K5:M5"/>
    <mergeCell ref="N5:N7"/>
    <mergeCell ref="O5:Q5"/>
    <mergeCell ref="S5:S7"/>
  </mergeCells>
  <pageMargins left="0.56000000000000005" right="0.19" top="0.27559055118110198" bottom="0.27559055118110198" header="0.196850393700787" footer="0.196850393700787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53"/>
  <sheetViews>
    <sheetView workbookViewId="0">
      <selection activeCell="B9" sqref="B9"/>
    </sheetView>
  </sheetViews>
  <sheetFormatPr defaultRowHeight="12.75"/>
  <cols>
    <col min="1" max="1" width="30" style="3" customWidth="1"/>
    <col min="2" max="2" width="11.85546875" style="145" customWidth="1"/>
    <col min="3" max="4" width="7" style="3" customWidth="1"/>
    <col min="5" max="5" width="9.140625" style="44"/>
    <col min="6" max="6" width="8" style="3" customWidth="1"/>
    <col min="7" max="7" width="7.7109375" style="3" customWidth="1"/>
    <col min="8" max="8" width="28.42578125" style="151" customWidth="1"/>
    <col min="9" max="9" width="12.28515625" style="156" customWidth="1"/>
    <col min="10" max="10" width="4.28515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109</v>
      </c>
      <c r="B1" s="979"/>
      <c r="C1" s="979"/>
      <c r="D1" s="979"/>
      <c r="E1" s="980"/>
      <c r="F1" s="1"/>
      <c r="G1" s="2"/>
      <c r="H1" s="978" t="s">
        <v>110</v>
      </c>
      <c r="I1" s="979"/>
      <c r="J1" s="979"/>
      <c r="K1" s="979"/>
      <c r="L1" s="980"/>
    </row>
    <row r="2" spans="1:12" ht="26.25" customHeight="1">
      <c r="A2" s="4" t="s">
        <v>215</v>
      </c>
      <c r="B2" s="141"/>
      <c r="C2" s="5"/>
      <c r="D2" s="6"/>
      <c r="E2" s="7"/>
      <c r="F2" s="6"/>
      <c r="G2" s="8"/>
      <c r="H2" s="146" t="str">
        <f>A2</f>
        <v>Ngày 12 tháng 8 năm 2016</v>
      </c>
      <c r="I2" s="152"/>
      <c r="J2" s="9"/>
      <c r="K2" s="5"/>
      <c r="L2" s="10"/>
    </row>
    <row r="3" spans="1:12" ht="25.5" customHeight="1">
      <c r="A3" s="11" t="s">
        <v>34</v>
      </c>
      <c r="B3" s="63">
        <v>3</v>
      </c>
      <c r="C3" s="12"/>
      <c r="D3" s="6"/>
      <c r="E3" s="7"/>
      <c r="F3" s="6"/>
      <c r="G3" s="8"/>
      <c r="H3" s="147" t="s">
        <v>34</v>
      </c>
      <c r="I3" s="1">
        <v>4</v>
      </c>
      <c r="J3" s="1"/>
      <c r="K3" s="10"/>
      <c r="L3" s="10"/>
    </row>
    <row r="4" spans="1:12" ht="22.5" customHeight="1" thickBot="1">
      <c r="A4" s="13" t="s">
        <v>35</v>
      </c>
      <c r="B4" s="142" t="s">
        <v>36</v>
      </c>
      <c r="C4" s="14"/>
      <c r="D4" s="15"/>
      <c r="E4" s="16"/>
      <c r="F4" s="15"/>
      <c r="G4" s="1"/>
      <c r="H4" s="148" t="s">
        <v>35</v>
      </c>
      <c r="I4" s="981"/>
      <c r="J4" s="981"/>
      <c r="K4" s="982"/>
      <c r="L4" s="17"/>
    </row>
    <row r="5" spans="1:12" ht="18" customHeight="1">
      <c r="A5" s="51"/>
      <c r="B5" s="143"/>
      <c r="C5" s="15"/>
      <c r="D5" s="15"/>
      <c r="E5" s="16"/>
      <c r="F5" s="15"/>
      <c r="G5" s="1"/>
      <c r="H5" s="147"/>
      <c r="I5" s="1"/>
      <c r="J5" s="15"/>
      <c r="K5" s="15"/>
      <c r="L5" s="18"/>
    </row>
    <row r="6" spans="1:12">
      <c r="A6" s="983" t="s">
        <v>0</v>
      </c>
      <c r="B6" s="986" t="s">
        <v>86</v>
      </c>
      <c r="C6" s="986"/>
      <c r="D6" s="986"/>
      <c r="E6" s="986" t="s">
        <v>87</v>
      </c>
      <c r="F6" s="986"/>
      <c r="G6" s="987"/>
      <c r="H6" s="149" t="s">
        <v>2</v>
      </c>
      <c r="I6" s="988" t="s">
        <v>33</v>
      </c>
      <c r="J6" s="989"/>
      <c r="K6" s="989"/>
      <c r="L6" s="990"/>
    </row>
    <row r="7" spans="1:12" ht="18.75" customHeight="1">
      <c r="A7" s="984"/>
      <c r="B7" s="991" t="s">
        <v>99</v>
      </c>
      <c r="C7" s="972" t="s">
        <v>5</v>
      </c>
      <c r="D7" s="972" t="s">
        <v>6</v>
      </c>
      <c r="E7" s="970" t="s">
        <v>88</v>
      </c>
      <c r="F7" s="972" t="s">
        <v>5</v>
      </c>
      <c r="G7" s="974" t="s">
        <v>6</v>
      </c>
      <c r="H7" s="976" t="s">
        <v>0</v>
      </c>
      <c r="I7" s="153" t="s">
        <v>4</v>
      </c>
      <c r="J7" s="138" t="s">
        <v>92</v>
      </c>
      <c r="K7" s="19" t="s">
        <v>5</v>
      </c>
      <c r="L7" s="20" t="s">
        <v>6</v>
      </c>
    </row>
    <row r="8" spans="1:12" ht="18.75" customHeight="1">
      <c r="A8" s="985"/>
      <c r="B8" s="992"/>
      <c r="C8" s="973"/>
      <c r="D8" s="973"/>
      <c r="E8" s="971"/>
      <c r="F8" s="973"/>
      <c r="G8" s="975"/>
      <c r="H8" s="977"/>
      <c r="I8" s="21" t="s">
        <v>3</v>
      </c>
      <c r="J8" s="21"/>
      <c r="K8" s="21" t="s">
        <v>7</v>
      </c>
      <c r="L8" s="22" t="s">
        <v>8</v>
      </c>
    </row>
    <row r="9" spans="1:12">
      <c r="A9" s="23" t="s">
        <v>38</v>
      </c>
      <c r="B9" s="175">
        <v>1100</v>
      </c>
      <c r="C9" s="25"/>
      <c r="D9" s="25"/>
      <c r="E9" s="24"/>
      <c r="F9" s="25"/>
      <c r="G9" s="25"/>
      <c r="H9" s="200"/>
      <c r="I9" s="212"/>
      <c r="J9" s="154"/>
      <c r="K9" s="211"/>
      <c r="L9" s="28"/>
    </row>
    <row r="10" spans="1:12" s="35" customFormat="1">
      <c r="A10" s="29" t="s">
        <v>51</v>
      </c>
      <c r="B10" s="175">
        <v>1100</v>
      </c>
      <c r="C10" s="30"/>
      <c r="D10" s="31"/>
      <c r="E10" s="30"/>
      <c r="F10" s="30"/>
      <c r="G10" s="31"/>
      <c r="H10" s="166"/>
      <c r="I10" s="213"/>
      <c r="J10" s="155"/>
      <c r="K10" s="33"/>
      <c r="L10" s="34"/>
    </row>
    <row r="11" spans="1:12">
      <c r="A11" s="26" t="s">
        <v>52</v>
      </c>
      <c r="B11" s="175">
        <v>1100</v>
      </c>
      <c r="C11" s="25"/>
      <c r="D11" s="36"/>
      <c r="E11" s="37"/>
      <c r="F11" s="38"/>
      <c r="G11" s="36"/>
      <c r="H11" s="200"/>
      <c r="I11" s="212"/>
      <c r="J11" s="154"/>
      <c r="K11" s="39"/>
      <c r="L11" s="40"/>
    </row>
    <row r="12" spans="1:12" s="35" customFormat="1">
      <c r="A12" s="29" t="s">
        <v>61</v>
      </c>
      <c r="B12" s="175">
        <v>1100</v>
      </c>
      <c r="C12" s="30"/>
      <c r="D12" s="30"/>
      <c r="E12" s="30"/>
      <c r="F12" s="30"/>
      <c r="G12" s="30"/>
      <c r="H12" s="166"/>
      <c r="I12" s="213"/>
      <c r="J12" s="155"/>
      <c r="K12" s="33"/>
      <c r="L12" s="34"/>
    </row>
    <row r="13" spans="1:12" s="44" customFormat="1">
      <c r="A13" s="41" t="s">
        <v>62</v>
      </c>
      <c r="B13" s="175">
        <v>1100</v>
      </c>
      <c r="C13" s="25"/>
      <c r="D13" s="37"/>
      <c r="E13" s="37"/>
      <c r="F13" s="37"/>
      <c r="G13" s="37"/>
      <c r="H13" s="200"/>
      <c r="I13" s="212"/>
      <c r="J13" s="37"/>
      <c r="K13" s="42"/>
      <c r="L13" s="43"/>
    </row>
    <row r="14" spans="1:12" s="35" customFormat="1">
      <c r="A14" s="29" t="s">
        <v>74</v>
      </c>
      <c r="B14" s="175">
        <v>1100</v>
      </c>
      <c r="C14" s="30"/>
      <c r="D14" s="30"/>
      <c r="E14" s="30"/>
      <c r="F14" s="30"/>
      <c r="G14" s="30"/>
      <c r="H14" s="200"/>
      <c r="I14" s="214"/>
      <c r="J14" s="32"/>
      <c r="K14" s="45"/>
      <c r="L14" s="46"/>
    </row>
    <row r="15" spans="1:12" s="44" customFormat="1">
      <c r="A15" s="41" t="s">
        <v>59</v>
      </c>
      <c r="B15" s="175">
        <v>1100</v>
      </c>
      <c r="C15" s="25"/>
      <c r="D15" s="37"/>
      <c r="E15" s="37"/>
      <c r="F15" s="37"/>
      <c r="G15" s="37"/>
      <c r="H15" s="166"/>
      <c r="I15" s="215"/>
      <c r="J15" s="37"/>
      <c r="K15" s="42"/>
      <c r="L15" s="43"/>
    </row>
    <row r="16" spans="1:12" s="35" customFormat="1">
      <c r="A16" s="29" t="s">
        <v>60</v>
      </c>
      <c r="B16" s="175">
        <v>1100</v>
      </c>
      <c r="C16" s="30"/>
      <c r="D16" s="30"/>
      <c r="E16" s="30"/>
      <c r="F16" s="30"/>
      <c r="G16" s="30"/>
      <c r="H16" s="166"/>
      <c r="I16" s="215"/>
      <c r="J16" s="30"/>
      <c r="K16" s="45"/>
      <c r="L16" s="46"/>
    </row>
    <row r="17" spans="1:12">
      <c r="A17" s="26" t="s">
        <v>82</v>
      </c>
      <c r="B17" s="175">
        <v>9900</v>
      </c>
      <c r="C17" s="25"/>
      <c r="D17" s="38"/>
      <c r="E17" s="37"/>
      <c r="F17" s="38"/>
      <c r="G17" s="38"/>
      <c r="H17" s="200"/>
      <c r="I17" s="214"/>
      <c r="J17" s="37"/>
      <c r="K17" s="42"/>
      <c r="L17" s="43"/>
    </row>
    <row r="18" spans="1:12" s="35" customFormat="1">
      <c r="A18" s="29" t="s">
        <v>73</v>
      </c>
      <c r="B18" s="144">
        <v>1850</v>
      </c>
      <c r="C18" s="30"/>
      <c r="D18" s="30"/>
      <c r="E18" s="30"/>
      <c r="F18" s="30"/>
      <c r="G18" s="30"/>
      <c r="H18" s="200"/>
      <c r="I18" s="214"/>
      <c r="J18" s="30"/>
      <c r="K18" s="45"/>
      <c r="L18" s="46"/>
    </row>
    <row r="19" spans="1:12">
      <c r="A19" s="26" t="s">
        <v>84</v>
      </c>
      <c r="B19" s="179">
        <v>500</v>
      </c>
      <c r="C19" s="25"/>
      <c r="D19" s="38"/>
      <c r="E19" s="37"/>
      <c r="F19" s="38"/>
      <c r="G19" s="38"/>
      <c r="H19" s="166"/>
      <c r="I19" s="215"/>
      <c r="J19" s="37"/>
      <c r="K19" s="42"/>
      <c r="L19" s="43"/>
    </row>
    <row r="20" spans="1:12" s="35" customFormat="1">
      <c r="A20" s="29" t="s">
        <v>81</v>
      </c>
      <c r="B20" s="179">
        <v>500</v>
      </c>
      <c r="C20" s="30"/>
      <c r="D20" s="30"/>
      <c r="E20" s="30"/>
      <c r="F20" s="30"/>
      <c r="G20" s="30"/>
      <c r="H20" s="200"/>
      <c r="I20" s="214"/>
      <c r="J20" s="32"/>
      <c r="K20" s="45"/>
      <c r="L20" s="46"/>
    </row>
    <row r="21" spans="1:12">
      <c r="A21" s="26" t="s">
        <v>85</v>
      </c>
      <c r="B21" s="179">
        <v>500</v>
      </c>
      <c r="C21" s="25"/>
      <c r="D21" s="38"/>
      <c r="E21" s="37"/>
      <c r="F21" s="38"/>
      <c r="G21" s="38"/>
      <c r="H21" s="166"/>
      <c r="I21" s="215"/>
      <c r="J21" s="37"/>
      <c r="K21" s="42"/>
      <c r="L21" s="43"/>
    </row>
    <row r="22" spans="1:12" s="35" customFormat="1">
      <c r="A22" s="29" t="s">
        <v>16</v>
      </c>
      <c r="B22" s="179">
        <v>1000</v>
      </c>
      <c r="C22" s="30"/>
      <c r="D22" s="30"/>
      <c r="E22" s="30"/>
      <c r="F22" s="30"/>
      <c r="G22" s="30"/>
      <c r="H22" s="166"/>
      <c r="I22" s="215"/>
      <c r="J22" s="30"/>
      <c r="K22" s="45"/>
      <c r="L22" s="46"/>
    </row>
    <row r="23" spans="1:12">
      <c r="A23" s="26" t="s">
        <v>57</v>
      </c>
      <c r="B23" s="179">
        <v>1000</v>
      </c>
      <c r="C23" s="25"/>
      <c r="D23" s="38"/>
      <c r="E23" s="37"/>
      <c r="F23" s="38"/>
      <c r="G23" s="38"/>
      <c r="H23" s="200"/>
      <c r="I23" s="214"/>
      <c r="J23" s="37"/>
      <c r="K23" s="42"/>
      <c r="L23" s="43"/>
    </row>
    <row r="24" spans="1:12" s="35" customFormat="1">
      <c r="A24" s="29" t="s">
        <v>58</v>
      </c>
      <c r="B24" s="179">
        <v>1000</v>
      </c>
      <c r="C24" s="30"/>
      <c r="D24" s="30"/>
      <c r="E24" s="30"/>
      <c r="F24" s="30"/>
      <c r="G24" s="30"/>
      <c r="H24" s="166"/>
      <c r="I24" s="215"/>
      <c r="J24" s="32"/>
      <c r="K24" s="30"/>
      <c r="L24" s="46"/>
    </row>
    <row r="25" spans="1:12">
      <c r="A25" s="26" t="s">
        <v>40</v>
      </c>
      <c r="B25" s="179">
        <v>500</v>
      </c>
      <c r="C25" s="25"/>
      <c r="D25" s="38"/>
      <c r="E25" s="37"/>
      <c r="F25" s="38"/>
      <c r="G25" s="38"/>
      <c r="H25" s="200"/>
      <c r="I25" s="214"/>
      <c r="J25" s="37"/>
      <c r="K25" s="37"/>
      <c r="L25" s="40"/>
    </row>
    <row r="26" spans="1:12" s="35" customFormat="1">
      <c r="A26" s="29" t="s">
        <v>41</v>
      </c>
      <c r="B26" s="179">
        <v>500</v>
      </c>
      <c r="C26" s="30"/>
      <c r="D26" s="30"/>
      <c r="E26" s="30"/>
      <c r="F26" s="30"/>
      <c r="G26" s="30"/>
      <c r="H26" s="166"/>
      <c r="I26" s="215"/>
      <c r="J26" s="32"/>
      <c r="K26" s="30"/>
      <c r="L26" s="46"/>
    </row>
    <row r="27" spans="1:12">
      <c r="A27" s="26" t="s">
        <v>43</v>
      </c>
      <c r="B27" s="179">
        <v>500</v>
      </c>
      <c r="C27" s="25"/>
      <c r="D27" s="38"/>
      <c r="E27" s="37"/>
      <c r="F27" s="38"/>
      <c r="G27" s="38"/>
      <c r="H27" s="49"/>
      <c r="I27" s="208"/>
      <c r="J27" s="37"/>
      <c r="K27" s="30"/>
      <c r="L27" s="46"/>
    </row>
    <row r="28" spans="1:12" s="35" customFormat="1">
      <c r="A28" s="49" t="s">
        <v>95</v>
      </c>
      <c r="B28" s="162"/>
      <c r="C28" s="30"/>
      <c r="D28" s="30"/>
      <c r="E28" s="30"/>
      <c r="F28" s="30"/>
      <c r="G28" s="30"/>
      <c r="H28" s="49"/>
      <c r="I28" s="208"/>
      <c r="J28" s="30"/>
      <c r="K28" s="38"/>
      <c r="L28" s="43"/>
    </row>
    <row r="29" spans="1:12">
      <c r="A29" s="26" t="s">
        <v>96</v>
      </c>
      <c r="B29" s="163"/>
      <c r="C29" s="38"/>
      <c r="D29" s="38"/>
      <c r="E29" s="37"/>
      <c r="F29" s="38"/>
      <c r="G29" s="38"/>
      <c r="H29" s="50"/>
      <c r="I29" s="209"/>
      <c r="J29" s="37"/>
      <c r="K29" s="30"/>
      <c r="L29" s="46"/>
    </row>
    <row r="30" spans="1:12" s="35" customFormat="1" ht="13.5" thickBot="1">
      <c r="A30" s="47" t="s">
        <v>98</v>
      </c>
      <c r="B30" s="167"/>
      <c r="C30" s="48"/>
      <c r="D30" s="48"/>
      <c r="E30" s="48"/>
      <c r="F30" s="48"/>
      <c r="G30" s="48"/>
      <c r="H30" s="49"/>
      <c r="I30" s="208"/>
      <c r="J30" s="30"/>
      <c r="K30" s="38"/>
      <c r="L30" s="43"/>
    </row>
    <row r="31" spans="1:12">
      <c r="H31" s="50"/>
      <c r="I31" s="209"/>
      <c r="J31" s="37"/>
      <c r="K31" s="30"/>
      <c r="L31" s="46"/>
    </row>
    <row r="32" spans="1:12">
      <c r="H32" s="49"/>
      <c r="I32" s="208"/>
      <c r="J32" s="32"/>
      <c r="K32" s="30"/>
      <c r="L32" s="46"/>
    </row>
    <row r="33" spans="8:12">
      <c r="H33" s="50"/>
      <c r="I33" s="209"/>
      <c r="J33" s="37"/>
      <c r="K33" s="38"/>
      <c r="L33" s="43"/>
    </row>
    <row r="34" spans="8:12">
      <c r="H34" s="166"/>
      <c r="I34" s="208"/>
      <c r="J34" s="32"/>
      <c r="K34" s="30"/>
      <c r="L34" s="46"/>
    </row>
    <row r="35" spans="8:12">
      <c r="H35" s="50"/>
      <c r="I35" s="209"/>
      <c r="J35" s="37"/>
      <c r="K35" s="38"/>
      <c r="L35" s="43"/>
    </row>
    <row r="36" spans="8:12">
      <c r="H36" s="49"/>
      <c r="I36" s="208"/>
      <c r="J36" s="32"/>
      <c r="K36" s="30"/>
      <c r="L36" s="46"/>
    </row>
    <row r="37" spans="8:12">
      <c r="H37" s="50"/>
      <c r="I37" s="209"/>
      <c r="J37" s="37"/>
      <c r="K37" s="38"/>
      <c r="L37" s="43"/>
    </row>
    <row r="38" spans="8:12">
      <c r="H38" s="49"/>
      <c r="I38" s="208"/>
      <c r="J38" s="30"/>
      <c r="K38" s="30"/>
      <c r="L38" s="46"/>
    </row>
    <row r="39" spans="8:12">
      <c r="H39" s="50"/>
      <c r="I39" s="209"/>
      <c r="J39" s="37"/>
      <c r="K39" s="38"/>
      <c r="L39" s="43"/>
    </row>
    <row r="40" spans="8:12">
      <c r="H40" s="49"/>
      <c r="I40" s="208"/>
      <c r="J40" s="30"/>
      <c r="K40" s="30"/>
      <c r="L40" s="46"/>
    </row>
    <row r="41" spans="8:12">
      <c r="H41" s="50"/>
      <c r="I41" s="209"/>
      <c r="J41" s="37"/>
      <c r="K41" s="38"/>
      <c r="L41" s="43"/>
    </row>
    <row r="42" spans="8:12">
      <c r="H42" s="49"/>
      <c r="I42" s="208"/>
      <c r="J42" s="32"/>
      <c r="K42" s="30"/>
      <c r="L42" s="46"/>
    </row>
    <row r="43" spans="8:12">
      <c r="H43" s="166"/>
      <c r="I43" s="208"/>
      <c r="J43" s="32"/>
      <c r="K43" s="38"/>
      <c r="L43" s="43"/>
    </row>
    <row r="44" spans="8:12">
      <c r="H44" s="50"/>
      <c r="I44" s="209"/>
      <c r="J44" s="37"/>
      <c r="K44" s="30"/>
      <c r="L44" s="46"/>
    </row>
    <row r="45" spans="8:12">
      <c r="H45" s="49"/>
      <c r="I45" s="208"/>
      <c r="J45" s="32"/>
      <c r="K45" s="38"/>
      <c r="L45" s="43"/>
    </row>
    <row r="46" spans="8:12">
      <c r="H46" s="50"/>
      <c r="I46" s="209"/>
      <c r="J46" s="37"/>
      <c r="K46" s="30"/>
      <c r="L46" s="46"/>
    </row>
    <row r="47" spans="8:12">
      <c r="H47" s="50"/>
      <c r="I47" s="210"/>
      <c r="J47" s="38"/>
      <c r="K47" s="38"/>
      <c r="L47" s="43"/>
    </row>
    <row r="48" spans="8:12">
      <c r="H48" s="50"/>
      <c r="I48" s="210"/>
      <c r="J48" s="38"/>
      <c r="K48" s="38"/>
      <c r="L48" s="43"/>
    </row>
    <row r="49" spans="8:12">
      <c r="H49" s="50"/>
      <c r="I49" s="209"/>
      <c r="J49" s="37"/>
      <c r="K49" s="38"/>
      <c r="L49" s="43"/>
    </row>
    <row r="50" spans="8:12">
      <c r="H50" s="49"/>
      <c r="I50" s="32"/>
      <c r="J50" s="32"/>
      <c r="K50" s="30"/>
      <c r="L50" s="46"/>
    </row>
    <row r="51" spans="8:12">
      <c r="H51" s="50"/>
      <c r="I51" s="179"/>
      <c r="J51" s="37"/>
      <c r="K51" s="38"/>
      <c r="L51" s="43"/>
    </row>
    <row r="52" spans="8:12">
      <c r="H52" s="49"/>
      <c r="I52" s="32"/>
      <c r="J52" s="30"/>
      <c r="K52" s="30"/>
      <c r="L52" s="46"/>
    </row>
    <row r="53" spans="8:12" ht="13.5" thickBot="1">
      <c r="H53" s="150"/>
      <c r="I53" s="182"/>
      <c r="J53" s="183"/>
      <c r="K53" s="139"/>
      <c r="L53" s="140"/>
    </row>
  </sheetData>
  <mergeCells count="14">
    <mergeCell ref="E7:E8"/>
    <mergeCell ref="F7:F8"/>
    <mergeCell ref="G7:G8"/>
    <mergeCell ref="H7:H8"/>
    <mergeCell ref="A1:E1"/>
    <mergeCell ref="H1:L1"/>
    <mergeCell ref="I4:K4"/>
    <mergeCell ref="A6:A8"/>
    <mergeCell ref="B6:D6"/>
    <mergeCell ref="E6:G6"/>
    <mergeCell ref="I6:L6"/>
    <mergeCell ref="B7:B8"/>
    <mergeCell ref="C7:C8"/>
    <mergeCell ref="D7:D8"/>
  </mergeCell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C132"/>
  <sheetViews>
    <sheetView topLeftCell="H1" zoomScaleNormal="100" workbookViewId="0">
      <pane ySplit="7" topLeftCell="A20" activePane="bottomLeft" state="frozen"/>
      <selection activeCell="Z27" sqref="Z27"/>
      <selection pane="bottomLeft" activeCell="B6" sqref="B6:D6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460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462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461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283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3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3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3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3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463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472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463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463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473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473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471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469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470"/>
      <c r="K7" s="74" t="s">
        <v>63</v>
      </c>
      <c r="L7" s="74" t="s">
        <v>217</v>
      </c>
      <c r="M7" s="370" t="s">
        <v>230</v>
      </c>
      <c r="N7" s="932"/>
      <c r="O7" s="465" t="s">
        <v>63</v>
      </c>
      <c r="P7" s="465" t="s">
        <v>217</v>
      </c>
      <c r="Q7" s="371" t="s">
        <v>230</v>
      </c>
      <c r="S7" s="939"/>
      <c r="T7" s="74" t="s">
        <v>259</v>
      </c>
      <c r="U7" s="74" t="s">
        <v>217</v>
      </c>
      <c r="V7" s="465" t="s">
        <v>230</v>
      </c>
      <c r="W7" s="74" t="s">
        <v>63</v>
      </c>
      <c r="X7" s="74" t="s">
        <v>217</v>
      </c>
      <c r="Y7" s="465" t="s">
        <v>230</v>
      </c>
      <c r="Z7" s="315" t="s">
        <v>63</v>
      </c>
      <c r="AA7" s="465" t="s">
        <v>217</v>
      </c>
      <c r="AB7" s="394" t="s">
        <v>230</v>
      </c>
      <c r="AC7" s="420"/>
      <c r="AD7" s="1032"/>
      <c r="AE7" s="383" t="s">
        <v>63</v>
      </c>
      <c r="AF7" s="465" t="s">
        <v>217</v>
      </c>
      <c r="AG7" s="465" t="s">
        <v>230</v>
      </c>
      <c r="AH7" s="372" t="s">
        <v>63</v>
      </c>
      <c r="AI7" s="465" t="s">
        <v>217</v>
      </c>
      <c r="AJ7" s="465" t="s">
        <v>230</v>
      </c>
      <c r="AK7" s="464" t="s">
        <v>63</v>
      </c>
      <c r="AL7" s="340" t="s">
        <v>217</v>
      </c>
      <c r="AM7" s="420"/>
      <c r="AN7" s="1021"/>
      <c r="AO7" s="372" t="s">
        <v>63</v>
      </c>
      <c r="AP7" s="465" t="s">
        <v>217</v>
      </c>
      <c r="AQ7" s="465" t="s">
        <v>230</v>
      </c>
      <c r="AR7" s="465" t="s">
        <v>63</v>
      </c>
      <c r="AS7" s="465" t="s">
        <v>217</v>
      </c>
      <c r="AT7" s="465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440</v>
      </c>
      <c r="AI8" s="276" t="str">
        <f>IF(INT(AH8/4000)&gt;=1,INT(AH8/4000)&amp;" thùng + "&amp;MOD(AH8,4000)/100&amp;" túi ",VALUE(AH8/100)&amp;"túi")</f>
        <v>4.4túi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 t="s">
        <v>286</v>
      </c>
      <c r="AA9" s="278" t="e">
        <f>IF(INT(Z9/4000)&gt;=1,INT(Z9/4000)&amp;" thùng + "&amp;MOD(Z9,4000)/100&amp;" túi ",VALUE(Z9/100)&amp;"túi")</f>
        <v>#VALUE!</v>
      </c>
      <c r="AB9" s="397"/>
      <c r="AC9" s="422"/>
      <c r="AD9" s="112" t="s">
        <v>238</v>
      </c>
      <c r="AE9" s="242"/>
      <c r="AF9" s="279"/>
      <c r="AG9" s="293"/>
      <c r="AH9" s="242">
        <v>440</v>
      </c>
      <c r="AI9" s="277" t="str">
        <f>IF(INT(AH9/500)&gt;=1,INT(AH9/500)&amp;" thùng + "&amp;MOD(AH9,500)/100&amp;" túi ",VALUE(AH9/100)&amp;"túi")</f>
        <v>4.4túi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 t="s">
        <v>284</v>
      </c>
      <c r="G10" s="277" t="e">
        <f>IF(INT(F10/500)&gt;=1,INT(F10/500)&amp;" thùng + "&amp;MOD(F10,500)/100&amp;" túi ",VALUE(F10/100)&amp;"túi")</f>
        <v>#VALUE!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 t="s">
        <v>287</v>
      </c>
      <c r="AF10" s="278" t="e">
        <f>IF(INT(AE10/500)&gt;=1,INT(AE10/500)&amp;" thùng + "&amp;MOD(AE10,500)/100&amp;" túi ",VALUE(AE10/100)&amp;"túi")</f>
        <v>#VALUE!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/>
      <c r="AP10" s="278" t="str">
        <f>IF(INT(AO10/500)&gt;=1,INT(AO10/500)&amp;" thùng + "&amp;MOD(AO10,500)/100&amp;" túi ",VALUE(AO10/100)&amp;"túi")</f>
        <v>0túi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540</v>
      </c>
      <c r="AA11" s="277" t="str">
        <f>IF(INT(Z11/3000)&gt;=1,INT(Z11/3000)&amp;" thùng + "&amp;MOD(Z11,3000)/100&amp;" túi ",VALUE(Z11/100)&amp;"túi")</f>
        <v>5.4túi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400</v>
      </c>
      <c r="AI11" s="277" t="str">
        <f>IF(INT(AH11/2000)&gt;=1,INT(AH11/2000)&amp;" thùng + "&amp;MOD(AH11,2000)/100&amp;" túi ",VALUE(AH11/100)&amp;"túi")</f>
        <v>4túi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2400</v>
      </c>
      <c r="X12" s="278" t="str">
        <f t="shared" ref="X12" si="1">IF(INT(W12/2000)&gt;=1,INT(W12/2000)&amp;" thùng + "&amp;MOD(W12,2000)/100&amp;" túi ",VALUE(W12/100)&amp;"túi")</f>
        <v xml:space="preserve">1 thùng + 4 túi </v>
      </c>
      <c r="Y12" s="292"/>
      <c r="Z12" s="244">
        <v>200</v>
      </c>
      <c r="AA12" s="278" t="str">
        <f t="shared" ref="AA12" si="2">IF(INT(Z12/2000)&gt;=1,INT(Z12/2000)&amp;" thùng + "&amp;MOD(Z12,2000)/100&amp;" túi ",VALUE(Z12/100)&amp;"túi")</f>
        <v>2túi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/>
      <c r="AP12" s="385" t="str">
        <f t="shared" ref="AP12" si="3">IF(INT(AO12/2000)&gt;=1,INT(AO12/2000)&amp;" thùng + "&amp;MOD(AO12,2000)/100&amp;" túi ",VALUE(AO12/100)&amp;"túi")</f>
        <v>0túi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800</v>
      </c>
      <c r="L13" s="278" t="str">
        <f>IF(INT(K13/600)&gt;=1,INT(K13/600)&amp;" thùng + "&amp;MOD(K13,600)/100&amp;" túi ",VALUE(K13/100)&amp;"túi")</f>
        <v xml:space="preserve">1 thùng + 2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670</v>
      </c>
      <c r="AA13" s="277" t="str">
        <f>IF(INT(Z13/600)&gt;=1,INT(Z13/600)&amp;" thùng + "&amp;MOD(Z13,600)&amp;" cái ",VALUE(Z13)&amp;"cái")</f>
        <v xml:space="preserve">1 thùng + 70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>
        <v>200</v>
      </c>
      <c r="AI13" s="277" t="str">
        <f>IF(INT(AH13/600)&gt;=1,INT(AH13/600)&amp;" thùng + "&amp;MOD(AH13,600)/100&amp;" túi ",VALUE(AH13/100)&amp;"túi")</f>
        <v>2túi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800</v>
      </c>
      <c r="L14" s="278" t="str">
        <f>IF(INT(K14/400)&gt;=1,INT(K14/400)&amp;" thùng + "&amp;MOD(K14,400)/100&amp;" túi ",VALUE(K14/100)&amp;"túi")</f>
        <v xml:space="preserve">2 thùng + 0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670</v>
      </c>
      <c r="AA14" s="278" t="str">
        <f>IF(INT(Z14/400)&gt;=1,INT(Z14/400)&amp;" thùng + "&amp;MOD(Z14,400)&amp;" cái ",VALUE(Z14/100)&amp;"túi")</f>
        <v xml:space="preserve">1 thùng + 270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>
        <v>200</v>
      </c>
      <c r="AI14" s="278" t="str">
        <f>IF(INT(AH14/400)&gt;=1,INT(AH14/400)&amp;" thùng + "&amp;MOD(AH14,400)/100&amp;" túi ",VALUE(AH14/100)&amp;"túi")</f>
        <v>2túi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800</v>
      </c>
      <c r="L15" s="278" t="str">
        <f>IF(INT(K15/600)&gt;=1,INT(K15/600)&amp;" thùng + "&amp;MOD(K15,600)/100&amp;" túi ",VALUE(K15/100)&amp;"túi")</f>
        <v xml:space="preserve">1 thùng + 2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670</v>
      </c>
      <c r="AA15" s="277" t="str">
        <f>IF(INT(Z15/600)&gt;=1,INT(Z15/600)&amp;" thùng + "&amp;MOD(Z15,600)&amp;" cái ",VALUE(Z15)&amp;"cái")</f>
        <v xml:space="preserve">1 thùng + 70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200</v>
      </c>
      <c r="AI15" s="277" t="str">
        <f>IF(INT(AH15/600)&gt;=1,INT(AH15/600)&amp;" thùng + "&amp;MOD(AH15,600)/100&amp;" túi ",VALUE(AH15/100)&amp;"túi")</f>
        <v>2túi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800</v>
      </c>
      <c r="L16" s="278" t="str">
        <f>IF(INT(K16/400)&gt;=1,INT(K16/400)&amp;" thùng + "&amp;MOD(K16,400)/100&amp;" túi ",VALUE(K16/100)&amp;"túi")</f>
        <v xml:space="preserve">2 thùng + 0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670</v>
      </c>
      <c r="AA16" s="278" t="str">
        <f>IF(INT(Z16/400)&gt;=1,INT(Z16/400)&amp;" thùng + "&amp;MOD(Z16,400)&amp;" cái ",VALUE(Z16/100)&amp;"túi")</f>
        <v xml:space="preserve">1 thùng + 270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>
        <v>200</v>
      </c>
      <c r="AI16" s="278" t="str">
        <f>IF(INT(AH16/400)&gt;=1,INT(AH16/400)&amp;" thùng + "&amp;MOD(AH16,400)/100&amp;" túi ",VALUE(AH16/100)&amp;"túi")</f>
        <v>2túi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800</v>
      </c>
      <c r="L17" s="277" t="str">
        <f>IF(INT(K17/200)&gt;=1,INT(K17/200)&amp;" thùng + "&amp;MOD(K17,200)/50&amp;" túi ",VALUE(K17/50)&amp;"túi")</f>
        <v xml:space="preserve">4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670</v>
      </c>
      <c r="AA17" s="277" t="str">
        <f>IF(INT(Z17/200)&gt;=1,INT(Z17/200)&amp;" thùng + "&amp;MOD(Z17,200)&amp;" cái ",VALUE(Z17/50)&amp;"túi")</f>
        <v xml:space="preserve">3 thùng + 70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200</v>
      </c>
      <c r="AI17" s="277" t="str">
        <f>IF(INT(AH17/200)&gt;=1,INT(AH17/200)&amp;" thùng + "&amp;MOD(AH17,200)/50&amp;" túi ",VALUE(AH17/50)&amp;"túi")</f>
        <v xml:space="preserve">1 thùng + 0 túi </v>
      </c>
      <c r="AJ17" s="291"/>
      <c r="AK17" s="227"/>
      <c r="AL17" s="91"/>
      <c r="AM17" s="430"/>
      <c r="AN17" s="117" t="s">
        <v>74</v>
      </c>
      <c r="AO17" s="242"/>
      <c r="AP17" s="277" t="str">
        <f>IF(INT(AO17/200)&gt;=1,INT(AO17/200)&amp;" thùng + "&amp;MOD(AO17,200)/50&amp;" túi",VALUE(AO17/50)&amp;"túi")</f>
        <v>0túi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 t="s">
        <v>285</v>
      </c>
      <c r="C18" s="277" t="e">
        <f>IF(INT(B18/1200)&gt;=1,INT(B18/1200)&amp;" thùng + "&amp;MOD(B18,1200)/100&amp;" túi ",VALUE(B18/100)&amp;"túi")</f>
        <v>#VALUE!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800</v>
      </c>
      <c r="L18" s="278" t="str">
        <f>IF(INT(K18/1200)&gt;=1,INT(K18/1200)&amp;" thùng + "&amp;MOD(K18,1200)/100&amp;" túi ",VALUE(K18/100)&amp;"túi")</f>
        <v>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 t="s">
        <v>287</v>
      </c>
      <c r="AF18" s="278" t="e">
        <f>IF(INT(AE18/1200)&gt;=1,INT(AE18/1200)&amp;" thùng + "&amp;MOD(AE18,1200)/100&amp;" túi ",VALUE(AE18/100)&amp;"túi")</f>
        <v>#VALUE!</v>
      </c>
      <c r="AG18" s="292"/>
      <c r="AH18" s="244">
        <v>440</v>
      </c>
      <c r="AI18" s="277" t="str">
        <f>IF(INT(AH18/600)&gt;=1,INT(AH18/600)&amp;" thùng + "&amp;MOD(AH18,600)&amp;" cái ",VALUE(AH18/100)&amp;"túi")</f>
        <v>4.4túi</v>
      </c>
      <c r="AJ18" s="292"/>
      <c r="AK18" s="246"/>
      <c r="AL18" s="102"/>
      <c r="AM18" s="417"/>
      <c r="AN18" s="103" t="s">
        <v>81</v>
      </c>
      <c r="AO18" s="441"/>
      <c r="AP18" s="278" t="str">
        <f>IF(INT(AO18/1200)&gt;=1,INT(AO18/1200)&amp;" thùng + "&amp;MOD(AO18,1200)/100&amp;" túi ",VALUE(AO18/100)&amp;"túi")</f>
        <v>0túi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18600</v>
      </c>
      <c r="L19" s="277" t="str">
        <f>IF(INT(K19/4000)&gt;=1,INT(K19/4000)&amp;" thùng + "&amp;MOD(K19,4000)/100&amp;" túi ",VALUE(K19/100)&amp;"túi")</f>
        <v xml:space="preserve">4 thùng + 26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9400</v>
      </c>
      <c r="X19" s="277" t="str">
        <f>IF(INT(W19/4000)&gt;=1,INT(W19/4000)&amp;" thùng + "&amp;MOD(W19,4000)&amp;" cái ",VALUE(W19/100)&amp;"túi")</f>
        <v xml:space="preserve">2 thùng + 1400 cái </v>
      </c>
      <c r="Y19" s="291"/>
      <c r="Z19" s="244">
        <v>7910</v>
      </c>
      <c r="AA19" s="278" t="str">
        <f>IF(INT(Z19/4000)&gt;=1,INT(Z19/4000)&amp;" thùng + "&amp;MOD(Z19,4000)/100&amp;" túi ",VALUE(Z19/100)&amp;"túi")</f>
        <v xml:space="preserve">1 thùng + 39.1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1400</v>
      </c>
      <c r="AI19" s="277" t="str">
        <f>IF(INT(AH19/4000)&gt;=1,INT(AH19/4000)&amp;" thùng + "&amp;MOD(AH19,4000)&amp;" cái ",VALUE(AH19/100)&amp;"túi")</f>
        <v>14túi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1600</v>
      </c>
      <c r="AS19" s="277" t="str">
        <f>IF(INT(AR19/4000)&gt;=1,INT(AR19/4000)&amp;" thùng + "&amp;MOD(AR19,4000)&amp;" cái ",VALUE(AR19/100)&amp;"túi")</f>
        <v>16túi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400</v>
      </c>
      <c r="AI20" s="278" t="str">
        <f>IF(INT(AH20/2000)&gt;=1,INT(AH20/2000)&amp;" thùng + "&amp;MOD(AH20,2000)/100&amp;" túi ",VALUE(AH20/100)&amp;"túi")</f>
        <v>4túi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300</v>
      </c>
      <c r="AA21" s="278" t="str">
        <f>IF(INT(Z21/400)&gt;=1,INT(Z21/400)&amp;" thùng + "&amp;MOD(Z21,400)/100&amp;" túi ",VALUE(Z21/100)&amp;"túi")</f>
        <v>3túi</v>
      </c>
      <c r="AB21" s="398"/>
      <c r="AC21" s="423"/>
      <c r="AD21" s="116" t="s">
        <v>56</v>
      </c>
      <c r="AE21" s="250"/>
      <c r="AF21" s="286"/>
      <c r="AG21" s="305"/>
      <c r="AH21" s="250">
        <v>400</v>
      </c>
      <c r="AI21" s="277" t="str">
        <f>IF(INT(AH21/100)&gt;=1,INT(AH21/100)&amp;" thùng + "&amp;MOD(AH21,100)/100&amp;" túi ",VALUE(AH21/100)&amp;"túi")</f>
        <v xml:space="preserve">4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400</v>
      </c>
      <c r="AI22" s="278" t="str">
        <f>IF(INT(AH22/100)&gt;=1,INT(AH22/100)&amp;" thùng + "&amp;MOD(AH22,100)/100&amp;" túi ",VALUE(AH22/100)&amp;"túi")</f>
        <v xml:space="preserve">4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500</v>
      </c>
      <c r="AS23" s="277" t="str">
        <f>IF(INT(AR23/400)&gt;=1,INT(AR23/400)&amp;" thùng + "&amp;MOD(AR23,400)&amp;" cái ",VALUE(AR23)&amp;"cái")</f>
        <v xml:space="preserve">1 thùng + 100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500</v>
      </c>
      <c r="AS24" s="277" t="str">
        <f>IF(INT(AR24/250)&gt;=1,INT(AR24/250)&amp;" thùng + "&amp;MOD(AR24,250)&amp;" cái ",VALUE(AR24)&amp;"cái")</f>
        <v xml:space="preserve">2 thùng + 0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 t="s">
        <v>288</v>
      </c>
      <c r="AF25" s="277" t="e">
        <f>IF(INT(AE25/500)&gt;=1,INT(AE25/500)&amp;" thùng + "&amp;MOD(AE25,500)/100&amp;" túi ",VALUE(AE25/100)&amp;"túi")</f>
        <v>#VALUE!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1920</v>
      </c>
      <c r="U26" s="278" t="str">
        <f>IF(INT(T26/4000)&gt;=1,INT(T26/4000)&amp;" thùng + "&amp;MOD(T26,4000)/100&amp;" túi ",VALUE(T26/100)&amp;"túi")</f>
        <v>19.2túi</v>
      </c>
      <c r="V26" s="291"/>
      <c r="W26" s="244">
        <v>3030</v>
      </c>
      <c r="X26" s="278" t="str">
        <f>IF(INT(W26/4000)&gt;=1,INT(W26/4000)&amp;" thùng + "&amp;MOD(W26,4000)/100&amp;" túi ",VALUE(W26/100)&amp;"túi")</f>
        <v>30.3túi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 t="s">
        <v>287</v>
      </c>
      <c r="AF26" s="288" t="e">
        <f>IF(INT(AE26/4000)&gt;=1,INT(AE26/4000)&amp;" thùng + "&amp;MOD(AE26,4000)/100&amp;" túi ",VALUE(AE26/100)&amp;"túi")</f>
        <v>#VALUE!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600</v>
      </c>
      <c r="AA27" s="278" t="str">
        <f>IF(INT(Z27/400)&gt;=1,INT(Z27/400)&amp;" thùng + "&amp;MOD(Z27,400)/100&amp;" túi ",VALUE(Z27/100)&amp;"túi")</f>
        <v xml:space="preserve">1 thùng + 2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300</v>
      </c>
      <c r="AA28" s="278" t="str">
        <f>IF(INT(Z28/1000)&gt;=1,INT(Z28/1000)&amp;" thùng + "&amp;MOD(Z28,1000)/100&amp;" túi ",VALUE(Z28/100)&amp;"túi")</f>
        <v>3túi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/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300</v>
      </c>
      <c r="AA29" s="278" t="str">
        <f>IF(INT(Z29/200)&gt;=1,INT(Z29/200)&amp;" thùng + "&amp;MOD(Z29,200)/50&amp;" túi ",VALUE(Z29/50)&amp;"túi")</f>
        <v xml:space="preserve">1 thùng + 2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270</v>
      </c>
      <c r="AA31" s="363" t="str">
        <f>IF(INT(Z31/20)&gt;=1,INT(Z31/20)&amp;" thùng + "&amp;MOD(Z31,20)&amp;" cái ",VALUE(Z31/20)&amp;"cái")</f>
        <v xml:space="preserve">13 thùng + 10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270</v>
      </c>
      <c r="AA32" s="278" t="str">
        <f>IF(INT(Z32/200)&gt;=1,INT(Z32/200)&amp;" thùng + "&amp;MOD(Z32,200)/20&amp;" túi ",VALUE(Z32)&amp;"cái")</f>
        <v xml:space="preserve">1 thùng + 3.5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>
        <v>200</v>
      </c>
      <c r="AA33" s="278" t="str">
        <f>IF(INT(Z33/300)&gt;=1,INT(Z33/300)&amp;" thùng + "&amp;MOD(Z33,300)/100&amp;" túi ",VALUE(Z33/100)&amp;"túi")</f>
        <v>2túi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500</v>
      </c>
      <c r="L34" s="277" t="str">
        <f>IF(INT(K34/1000)&gt;=1,INT(K34/1000)&amp;" thùng + "&amp;MOD(K34,1000)/100&amp;" túi ",VALUE(K34/100)&amp;"túi")</f>
        <v>5túi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/>
      <c r="X34" s="278" t="str">
        <f>IF(INT(W34/1000)&gt;=1,INT(W34/1000)&amp;" thùng + "&amp;MOD(W34,1000)/100&amp;" túi ",VALUE(W34/100)&amp;"túi")</f>
        <v>0túi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600</v>
      </c>
      <c r="AA35" s="278" t="str">
        <f>IF(INT(Z35/4000)&gt;=1,INT(Z35/4000)&amp;" thùng + "&amp;MOD(Z35,4000)/100&amp;" túi ",VALUE(Z35/100)&amp;"túi")</f>
        <v>6túi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600</v>
      </c>
      <c r="AA36" s="277" t="str">
        <f>IF(INT(Z36/50)&gt;=1,INT(Z36/50)&amp;" thùng + "&amp;MOD(Z36,50)&amp;" cái ",VALUE(Z36)&amp;"cái")</f>
        <v xml:space="preserve">12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 t="s">
        <v>286</v>
      </c>
      <c r="AA37" s="277" t="e">
        <f>IF(INT(Z37/1000)&gt;=1,INT(Z37/1000)&amp;" thùng + "&amp;MOD(Z37,1000)/100&amp;" túi ",VALUE(Z37/100)&amp;"túi")</f>
        <v>#VALUE!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1200</v>
      </c>
      <c r="AA38" s="278" t="str">
        <f>IF(INT(Z38/3000)&gt;=1,INT(Z38/3000)&amp;" thùng + "&amp;MOD(Z38,3000)/100&amp;" túi ",VALUE(Z38/100)&amp;"túi")</f>
        <v>12túi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300</v>
      </c>
      <c r="AA39" s="278" t="str">
        <f t="shared" ref="AA39" si="9">IF(INT(Z39/2000)&gt;=1,INT(Z39/2000)&amp;" thùng + "&amp;MOD(Z39,2000)/100&amp;" túi ",VALUE(Z39/100)&amp;"túi")</f>
        <v>3túi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270</v>
      </c>
      <c r="AA41" s="277" t="str">
        <f>IF(INT(Z41/100)&gt;=1,INT(Z41/100)&amp;" thùng + "&amp;MOD(Z41,100)/50&amp;" túi ",VALUE(Z41)&amp;"cái")</f>
        <v xml:space="preserve">2 thùng + 1.4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540</v>
      </c>
      <c r="AA42" s="278" t="str">
        <f>IF(INT(Z42/3000)&gt;=1,INT(Z42/3000)&amp;" thùng + "&amp;MOD(Z42,3000)/100&amp;" túi ",VALUE(Z42/100)&amp;"túi")</f>
        <v>5.4túi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270</v>
      </c>
      <c r="AA43" s="277" t="str">
        <f>IF(INT(Z43/1000)&gt;=1,INT(Z43/1000)&amp;" thùng + "&amp;MOD(Z43,1000)/100&amp;" túi ",VALUE(Z43/100)&amp;"túi")</f>
        <v>2.7túi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270</v>
      </c>
      <c r="AA44" s="278" t="str">
        <f>IF(INT(Z44/4000)&gt;=1,INT(Z44/4000)&amp;" thùng + "&amp;MOD(Z44,4000)/100&amp;" túi ",VALUE(Z44/100)&amp;"túi")</f>
        <v>2.7túi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>
        <v>100</v>
      </c>
      <c r="AA47" s="278" t="str">
        <f>IF(INT(Z47/50)&gt;=1,INT(Z47/50)&amp;" thùng + "&amp;MOD(Z47,50)/10&amp;" túi ",VALUE(Z47/10)&amp;"túi")</f>
        <v xml:space="preserve">2 thùng + 0 túi 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400</v>
      </c>
      <c r="X49" s="277" t="str">
        <f>IF(INT(W49/600)&gt;=1,INT(W49/600)&amp;" thùng + "&amp;MOD(W49,600)/20&amp;" túi ",VALUE(W49)&amp;"cái")</f>
        <v>400cái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 t="s">
        <v>288</v>
      </c>
      <c r="AF49" s="278" t="e">
        <f>IF(INT(AE49/200)&gt;=1,INT(AE49/200)&amp;" thùng + "&amp;MOD(AE49,200)/100&amp;" túi ",VALUE(AE49)&amp;"cái")</f>
        <v>#VALUE!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110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110</v>
      </c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60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27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F4" sqref="F4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467"/>
      <c r="G1" s="466"/>
      <c r="H1" s="978" t="s">
        <v>268</v>
      </c>
      <c r="I1" s="979"/>
      <c r="J1" s="979"/>
      <c r="K1" s="979"/>
      <c r="L1" s="980"/>
    </row>
    <row r="2" spans="1:12" ht="26.25" customHeight="1">
      <c r="A2" s="4" t="s">
        <v>283</v>
      </c>
      <c r="B2" s="141"/>
      <c r="C2" s="5"/>
      <c r="D2" s="1033" t="s">
        <v>260</v>
      </c>
      <c r="E2" s="1033"/>
      <c r="F2" s="1034"/>
      <c r="G2" s="474"/>
      <c r="H2" s="440" t="str">
        <f>A2</f>
        <v>Ngày 3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475">
        <v>4</v>
      </c>
      <c r="J3" s="475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475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468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1100</v>
      </c>
      <c r="C32" s="278" t="str">
        <f>IF(INT(B32/200)&gt;=1,INT(B32/200)&amp;" thùng + "&amp;MOD(B32,200)&amp;" cái",VALUE(B32)&amp;"cái")</f>
        <v>5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400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22</v>
      </c>
      <c r="B39" s="337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C132"/>
  <sheetViews>
    <sheetView topLeftCell="R1" zoomScaleNormal="100" workbookViewId="0">
      <pane ySplit="7" topLeftCell="A8" activePane="bottomLeft" state="frozen"/>
      <selection activeCell="Z27" sqref="Z27"/>
      <selection pane="bottomLeft" activeCell="AH23" sqref="AH23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478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480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479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289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4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4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4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4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481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486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481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481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485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485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488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487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489"/>
      <c r="K7" s="74" t="s">
        <v>63</v>
      </c>
      <c r="L7" s="74" t="s">
        <v>217</v>
      </c>
      <c r="M7" s="370" t="s">
        <v>230</v>
      </c>
      <c r="N7" s="932"/>
      <c r="O7" s="477" t="s">
        <v>63</v>
      </c>
      <c r="P7" s="477" t="s">
        <v>217</v>
      </c>
      <c r="Q7" s="371" t="s">
        <v>230</v>
      </c>
      <c r="S7" s="939"/>
      <c r="T7" s="74" t="s">
        <v>259</v>
      </c>
      <c r="U7" s="74" t="s">
        <v>217</v>
      </c>
      <c r="V7" s="477" t="s">
        <v>230</v>
      </c>
      <c r="W7" s="74" t="s">
        <v>63</v>
      </c>
      <c r="X7" s="74" t="s">
        <v>217</v>
      </c>
      <c r="Y7" s="477" t="s">
        <v>230</v>
      </c>
      <c r="Z7" s="315" t="s">
        <v>63</v>
      </c>
      <c r="AA7" s="477" t="s">
        <v>217</v>
      </c>
      <c r="AB7" s="394" t="s">
        <v>230</v>
      </c>
      <c r="AC7" s="420"/>
      <c r="AD7" s="1032"/>
      <c r="AE7" s="383" t="s">
        <v>63</v>
      </c>
      <c r="AF7" s="477" t="s">
        <v>217</v>
      </c>
      <c r="AG7" s="477" t="s">
        <v>230</v>
      </c>
      <c r="AH7" s="372" t="s">
        <v>63</v>
      </c>
      <c r="AI7" s="477" t="s">
        <v>217</v>
      </c>
      <c r="AJ7" s="477" t="s">
        <v>230</v>
      </c>
      <c r="AK7" s="476" t="s">
        <v>63</v>
      </c>
      <c r="AL7" s="340" t="s">
        <v>217</v>
      </c>
      <c r="AM7" s="420"/>
      <c r="AN7" s="1021"/>
      <c r="AO7" s="372" t="s">
        <v>63</v>
      </c>
      <c r="AP7" s="477" t="s">
        <v>217</v>
      </c>
      <c r="AQ7" s="477" t="s">
        <v>230</v>
      </c>
      <c r="AR7" s="477" t="s">
        <v>63</v>
      </c>
      <c r="AS7" s="477" t="s">
        <v>217</v>
      </c>
      <c r="AT7" s="477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340</v>
      </c>
      <c r="AI8" s="276" t="str">
        <f>IF(INT(AH8/4000)&gt;=1,INT(AH8/4000)&amp;" thùng + "&amp;MOD(AH8,4000)/100&amp;" túi ",VALUE(AH8/100)&amp;"túi")</f>
        <v>3.4túi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328</v>
      </c>
      <c r="AA9" s="278" t="str">
        <f>IF(INT(Z9/4000)&gt;=1,INT(Z9/4000)&amp;" thùng + "&amp;MOD(Z9,4000)/100&amp;" túi ",VALUE(Z9/100)&amp;"túi")</f>
        <v>3.28túi</v>
      </c>
      <c r="AB9" s="397"/>
      <c r="AC9" s="422"/>
      <c r="AD9" s="112" t="s">
        <v>238</v>
      </c>
      <c r="AE9" s="242"/>
      <c r="AF9" s="279"/>
      <c r="AG9" s="293"/>
      <c r="AH9" s="242">
        <v>340</v>
      </c>
      <c r="AI9" s="277" t="str">
        <f>IF(INT(AH9/500)&gt;=1,INT(AH9/500)&amp;" thùng + "&amp;MOD(AH9,500)/100&amp;" túi ",VALUE(AH9/100)&amp;"túi")</f>
        <v>3.4túi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600</v>
      </c>
      <c r="L10" s="278" t="str">
        <f>IF(INT(K10/500)&gt;=1,INT(K10/500)&amp;" thùng + "&amp;MOD(K10,500)/100&amp;" túi ",VALUE(K10/100)&amp;"túi")</f>
        <v xml:space="preserve">1 thùng + 1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1000</v>
      </c>
      <c r="AF10" s="278" t="str">
        <f>IF(INT(AE10/500)&gt;=1,INT(AE10/500)&amp;" thùng + "&amp;MOD(AE10,500)/100&amp;" túi ",VALUE(AE10/100)&amp;"túi")</f>
        <v xml:space="preserve">2 thùng + 0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800</v>
      </c>
      <c r="AI11" s="277" t="str">
        <f>IF(INT(AH11/2000)&gt;=1,INT(AH11/2000)&amp;" thùng + "&amp;MOD(AH11,2000)/100&amp;" túi ",VALUE(AH11/100)&amp;"túi")</f>
        <v>8túi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>
        <v>2800</v>
      </c>
      <c r="C12" s="277" t="str">
        <f>IF(INT(B12/2000)&gt;=1,INT(B12/2000)&amp;" thùng + "&amp;MOD(B12,2000)/100&amp;" túi ",VALUE(B12/100)&amp;"túi")</f>
        <v xml:space="preserve">1 thùng + 8 túi </v>
      </c>
      <c r="D12" s="312"/>
      <c r="E12" s="71" t="s">
        <v>112</v>
      </c>
      <c r="F12" s="244"/>
      <c r="G12" s="277" t="str">
        <f>IF(INT(F12/2000)&gt;=1,INT(F12/2000)&amp;" thùng + "&amp;MOD(F12,2000)/100&amp;" túi ",VALUE(F12/100)&amp;"túi")</f>
        <v>0túi</v>
      </c>
      <c r="H12" s="343"/>
      <c r="J12" s="105" t="s">
        <v>112</v>
      </c>
      <c r="K12" s="244">
        <v>3200</v>
      </c>
      <c r="L12" s="278" t="str">
        <f t="shared" si="0"/>
        <v xml:space="preserve">1 thùng + 12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>
        <v>140</v>
      </c>
      <c r="AA12" s="278" t="str">
        <f t="shared" ref="AA12" si="2">IF(INT(Z12/2000)&gt;=1,INT(Z12/2000)&amp;" thùng + "&amp;MOD(Z12,2000)/100&amp;" túi ",VALUE(Z12/100)&amp;"túi")</f>
        <v>1.4túi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>
        <v>400</v>
      </c>
      <c r="AI13" s="277" t="str">
        <f>IF(INT(AH13/600)&gt;=1,INT(AH13/600)&amp;" thùng + "&amp;MOD(AH13,600)/100&amp;" túi ",VALUE(AH13/100)&amp;"túi")</f>
        <v>4túi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>
        <v>400</v>
      </c>
      <c r="AI14" s="278" t="str">
        <f>IF(INT(AH14/400)&gt;=1,INT(AH14/400)&amp;" thùng + "&amp;MOD(AH14,400)/100&amp;" túi ",VALUE(AH14/100)&amp;"túi")</f>
        <v xml:space="preserve">1 thùng + 0 túi 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400</v>
      </c>
      <c r="AI15" s="277" t="str">
        <f>IF(INT(AH15/600)&gt;=1,INT(AH15/600)&amp;" thùng + "&amp;MOD(AH15,600)/100&amp;" túi ",VALUE(AH15/100)&amp;"túi")</f>
        <v>4túi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>
        <v>400</v>
      </c>
      <c r="AI16" s="278" t="str">
        <f>IF(INT(AH16/400)&gt;=1,INT(AH16/400)&amp;" thùng + "&amp;MOD(AH16,400)/100&amp;" túi ",VALUE(AH16/100)&amp;"túi")</f>
        <v xml:space="preserve">1 thùng + 0 túi 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900</v>
      </c>
      <c r="X17" s="277" t="str">
        <f>IF(INT(W17/200)&gt;=1,INT(W17/200)&amp;" thùng + "&amp;MOD(W17,200)/50&amp;" túi ",VALUE(W17/50)&amp;"túi")</f>
        <v xml:space="preserve">4 thùng + 2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400</v>
      </c>
      <c r="AI17" s="277" t="str">
        <f>IF(INT(AH17/200)&gt;=1,INT(AH17/200)&amp;" thùng + "&amp;MOD(AH17,200)/50&amp;" túi ",VALUE(AH17/50)&amp;"túi")</f>
        <v xml:space="preserve">2 thùng + 0 túi </v>
      </c>
      <c r="AJ17" s="291"/>
      <c r="AK17" s="227"/>
      <c r="AL17" s="91"/>
      <c r="AM17" s="430"/>
      <c r="AN17" s="117" t="s">
        <v>74</v>
      </c>
      <c r="AO17" s="242"/>
      <c r="AP17" s="277" t="str">
        <f>IF(INT(AO17/200)&gt;=1,INT(AO17/200)&amp;" thùng + "&amp;MOD(AO17,200)/50&amp;" túi",VALUE(AO17/50)&amp;"túi")</f>
        <v>0túi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1000</v>
      </c>
      <c r="AF18" s="278" t="str">
        <f>IF(INT(AE18/1200)&gt;=1,INT(AE18/1200)&amp;" thùng + "&amp;MOD(AE18,1200)/100&amp;" túi ",VALUE(AE18/100)&amp;"túi")</f>
        <v>10túi</v>
      </c>
      <c r="AG18" s="292"/>
      <c r="AH18" s="244">
        <v>340</v>
      </c>
      <c r="AI18" s="277" t="str">
        <f>IF(INT(AH18/600)&gt;=1,INT(AH18/600)&amp;" thùng + "&amp;MOD(AH18,600)&amp;" cái ",VALUE(AH18/100)&amp;"túi")</f>
        <v>3.4túi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20100</v>
      </c>
      <c r="G19" s="277" t="str">
        <f>IF(INT(F19/4000)&gt;=1,INT(F19/4000)&amp;" thùng + "&amp;MOD(F19,4000)/100&amp;" túi ",VALUE(F19/100)&amp;"túi")</f>
        <v xml:space="preserve">5 thùng + 1 túi </v>
      </c>
      <c r="H19" s="346"/>
      <c r="J19" s="234" t="s">
        <v>113</v>
      </c>
      <c r="K19" s="242">
        <v>20300</v>
      </c>
      <c r="L19" s="277" t="str">
        <f>IF(INT(K19/4000)&gt;=1,INT(K19/4000)&amp;" thùng + "&amp;MOD(K19,4000)/100&amp;" túi ",VALUE(K19/100)&amp;"túi")</f>
        <v xml:space="preserve">5 thùng + 3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10600</v>
      </c>
      <c r="X19" s="277" t="str">
        <f>IF(INT(W19/4000)&gt;=1,INT(W19/4000)&amp;" thùng + "&amp;MOD(W19,4000)&amp;" cái ",VALUE(W19/100)&amp;"túi")</f>
        <v xml:space="preserve">2 thùng + 2600 cái </v>
      </c>
      <c r="Y19" s="291"/>
      <c r="Z19" s="244">
        <v>8630</v>
      </c>
      <c r="AA19" s="278" t="str">
        <f>IF(INT(Z19/4000)&gt;=1,INT(Z19/4000)&amp;" thùng + "&amp;MOD(Z19,4000)/100&amp;" túi ",VALUE(Z19/100)&amp;"túi")</f>
        <v xml:space="preserve">2 thùng + 6.3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2800</v>
      </c>
      <c r="AI19" s="277" t="str">
        <f>IF(INT(AH19/4000)&gt;=1,INT(AH19/4000)&amp;" thùng + "&amp;MOD(AH19,4000)&amp;" cái ",VALUE(AH19/100)&amp;"túi")</f>
        <v>28túi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1600</v>
      </c>
      <c r="AS19" s="277" t="str">
        <f>IF(INT(AR19/4000)&gt;=1,INT(AR19/4000)&amp;" thùng + "&amp;MOD(AR19,4000)&amp;" cái ",VALUE(AR19/100)&amp;"túi")</f>
        <v>16túi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800</v>
      </c>
      <c r="AI20" s="278" t="str">
        <f>IF(INT(AH20/2000)&gt;=1,INT(AH20/2000)&amp;" thùng + "&amp;MOD(AH20,2000)/100&amp;" túi ",VALUE(AH20/100)&amp;"túi")</f>
        <v>8túi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330</v>
      </c>
      <c r="AA21" s="278" t="str">
        <f>IF(INT(Z21/400)&gt;=1,INT(Z21/400)&amp;" thùng + "&amp;MOD(Z21,400)/100&amp;" túi ",VALUE(Z21/100)&amp;"túi")</f>
        <v>3.3túi</v>
      </c>
      <c r="AB21" s="398"/>
      <c r="AC21" s="423"/>
      <c r="AD21" s="116" t="s">
        <v>56</v>
      </c>
      <c r="AE21" s="250"/>
      <c r="AF21" s="286"/>
      <c r="AG21" s="305"/>
      <c r="AH21" s="250">
        <v>800</v>
      </c>
      <c r="AI21" s="277" t="str">
        <f>IF(INT(AH21/100)&gt;=1,INT(AH21/100)&amp;" thùng + "&amp;MOD(AH21,100)/100&amp;" túi ",VALUE(AH21/100)&amp;"túi")</f>
        <v xml:space="preserve">8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800</v>
      </c>
      <c r="AI22" s="278" t="str">
        <f>IF(INT(AH22/100)&gt;=1,INT(AH22/100)&amp;" thùng + "&amp;MOD(AH22,100)/100&amp;" túi ",VALUE(AH22/100)&amp;"túi")</f>
        <v xml:space="preserve">8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1600</v>
      </c>
      <c r="U23" s="277" t="str">
        <f>IF(INT(T23/600)&gt;=1,INT(T23/600)&amp;" thùng + "&amp;MOD(T23,600)/100&amp;" túi ",VALUE(T23/100)&amp;"túi")</f>
        <v xml:space="preserve">2 thùng + 4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1600</v>
      </c>
      <c r="L24" s="277" t="str">
        <f>IF(INT(K24/600)&gt;=1,INT(K24/600)&amp;" thùng + "&amp;MOD(K24,600)/100&amp;" túi ",VALUE(K24/100)&amp;"túi")</f>
        <v xml:space="preserve">2 thùng + 4 túi </v>
      </c>
      <c r="M24" s="291"/>
      <c r="N24" s="71"/>
      <c r="O24" s="246"/>
      <c r="P24" s="123"/>
      <c r="Q24" s="130"/>
      <c r="S24" s="103" t="s">
        <v>60</v>
      </c>
      <c r="T24" s="244">
        <v>1600</v>
      </c>
      <c r="U24" s="277" t="str">
        <f>IF(INT(T24/500)&gt;=1,INT(T24/500)&amp;" thùng + "&amp;MOD(T24,500)/100&amp;" túi ",VALUE(T24/100)&amp;"túi")</f>
        <v xml:space="preserve">3 thùng + 1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>
        <v>100</v>
      </c>
      <c r="AP25" s="277" t="str">
        <f>IF(INT(AO25/500)&gt;=1,INT(AO25/500)&amp;" thùng + "&amp;MOD(AO25,500)/100&amp;" túi ",VALUE(AO25/100)&amp;"túi")</f>
        <v>1túi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3030</v>
      </c>
      <c r="C26" s="277" t="str">
        <f>IF(INT(B26/4000)&gt;=1,INT(B26/4000)&amp;" thùng + "&amp;MOD(B26,4000)/100&amp;" túi ",VALUE(B26/100)&amp;"túi")</f>
        <v>30.3túi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1920</v>
      </c>
      <c r="U26" s="278" t="str">
        <f>IF(INT(T26/4000)&gt;=1,INT(T26/4000)&amp;" thùng + "&amp;MOD(T26,4000)/100&amp;" túi ",VALUE(T26/100)&amp;"túi")</f>
        <v>19.2túi</v>
      </c>
      <c r="V26" s="291"/>
      <c r="W26" s="244">
        <v>3460</v>
      </c>
      <c r="X26" s="278" t="str">
        <f>IF(INT(W26/4000)&gt;=1,INT(W26/4000)&amp;" thùng + "&amp;MOD(W26,4000)/100&amp;" túi ",VALUE(W26/100)&amp;"túi")</f>
        <v>34.6túi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1000</v>
      </c>
      <c r="AF26" s="288" t="str">
        <f>IF(INT(AE26/4000)&gt;=1,INT(AE26/4000)&amp;" thùng + "&amp;MOD(AE26,4000)/100&amp;" túi ",VALUE(AE26/100)&amp;"túi")</f>
        <v>10túi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600</v>
      </c>
      <c r="L27" s="363" t="str">
        <f>IF(INT(K27/50)&gt;=1,INT(K27/50)&amp;" thùng + "&amp;MOD(K27,50)&amp;" cái ",VALUE(K27/50)&amp;"cái")</f>
        <v xml:space="preserve">12 thùng + 0 cái </v>
      </c>
      <c r="M27" s="293"/>
      <c r="N27" s="81" t="s">
        <v>9</v>
      </c>
      <c r="O27" s="242">
        <v>1500</v>
      </c>
      <c r="P27" s="363" t="str">
        <f>IF(INT(O27/50)&gt;=1,INT(O27/50)&amp;" thùng + "&amp;MOD(O27,50)&amp;" cái ",VALUE(O27/50)&amp;"cái")</f>
        <v xml:space="preserve">30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660</v>
      </c>
      <c r="AA27" s="278" t="str">
        <f>IF(INT(Z27/400)&gt;=1,INT(Z27/400)&amp;" thùng + "&amp;MOD(Z27,400)/100&amp;" túi ",VALUE(Z27/100)&amp;"túi")</f>
        <v xml:space="preserve">1 thùng + 2.6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230</v>
      </c>
      <c r="AA28" s="278" t="str">
        <f>IF(INT(Z28/1000)&gt;=1,INT(Z28/1000)&amp;" thùng + "&amp;MOD(Z28,1000)/100&amp;" túi ",VALUE(Z28/100)&amp;"túi")</f>
        <v>2.3túi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/>
      <c r="H29" s="349"/>
      <c r="J29" s="235" t="s">
        <v>89</v>
      </c>
      <c r="K29" s="327">
        <v>300</v>
      </c>
      <c r="L29" s="363" t="str">
        <f>IF(INT(K29/20)&gt;=1,INT(K29/20)&amp;" thùng + "&amp;MOD(K29,20)&amp;" cái ",VALUE(K29/20)&amp;"cái")</f>
        <v xml:space="preserve">15 thùng + 0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330</v>
      </c>
      <c r="AA29" s="278" t="str">
        <f>IF(INT(Z29/200)&gt;=1,INT(Z29/200)&amp;" thùng + "&amp;MOD(Z29,200)/50&amp;" túi ",VALUE(Z29/50)&amp;"túi")</f>
        <v xml:space="preserve">1 thùng + 2.6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>
        <v>100</v>
      </c>
      <c r="AP29" s="278" t="str">
        <f>IF(INT(AO29/6000)&gt;=1,INT(AO29/6000)&amp;" thùng + "&amp;MOD(AO29,6000)/100&amp;" túi ",VALUE(AO29/100)&amp;"túi")</f>
        <v>1túi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3400</v>
      </c>
      <c r="C32" s="277" t="str">
        <f>IF(INT(B32/100)&gt;=1,INT(B32/100)&amp;" thùng + "&amp;MOD(B32,100)/100&amp;" cái ",VALUE(B32/100)&amp;"cái")</f>
        <v xml:space="preserve">34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1800</v>
      </c>
      <c r="X33" s="278" t="str">
        <f>IF(INT(W33/300)&gt;=1,INT(W33/300)&amp;" thùng + "&amp;MOD(W33,300)/100&amp;" túi ",VALUE(W33/100)&amp;"túi")</f>
        <v xml:space="preserve">6 thùng + 0 túi </v>
      </c>
      <c r="Y33" s="293"/>
      <c r="Z33" s="244">
        <v>140</v>
      </c>
      <c r="AA33" s="278" t="str">
        <f>IF(INT(Z33/300)&gt;=1,INT(Z33/300)&amp;" thùng + "&amp;MOD(Z33,300)/100&amp;" túi ",VALUE(Z33/100)&amp;"túi")</f>
        <v>1.4túi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600</v>
      </c>
      <c r="L34" s="277" t="str">
        <f>IF(INT(K34/1000)&gt;=1,INT(K34/1000)&amp;" thùng + "&amp;MOD(K34,1000)/100&amp;" túi ",VALUE(K34/100)&amp;"túi")</f>
        <v>6túi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900</v>
      </c>
      <c r="X34" s="278" t="str">
        <f>IF(INT(W34/1000)&gt;=1,INT(W34/1000)&amp;" thùng + "&amp;MOD(W34,1000)/100&amp;" túi ",VALUE(W34/100)&amp;"túi")</f>
        <v>9túi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660</v>
      </c>
      <c r="AA35" s="278" t="str">
        <f>IF(INT(Z35/4000)&gt;=1,INT(Z35/4000)&amp;" thùng + "&amp;MOD(Z35,4000)/100&amp;" túi ",VALUE(Z35/100)&amp;"túi")</f>
        <v>6.6túi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660</v>
      </c>
      <c r="AA36" s="277" t="str">
        <f>IF(INT(Z36/50)&gt;=1,INT(Z36/50)&amp;" thùng + "&amp;MOD(Z36,50)&amp;" cái ",VALUE(Z36)&amp;"cái")</f>
        <v xml:space="preserve">13 thùng + 10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328</v>
      </c>
      <c r="AA37" s="277" t="str">
        <f>IF(INT(Z37/1000)&gt;=1,INT(Z37/1000)&amp;" thùng + "&amp;MOD(Z37,1000)/100&amp;" túi ",VALUE(Z37/100)&amp;"túi")</f>
        <v>3.28túi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1320</v>
      </c>
      <c r="AA38" s="278" t="str">
        <f>IF(INT(Z38/3000)&gt;=1,INT(Z38/3000)&amp;" thùng + "&amp;MOD(Z38,3000)/100&amp;" túi ",VALUE(Z38/100)&amp;"túi")</f>
        <v>13.2túi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330</v>
      </c>
      <c r="AA39" s="278" t="str">
        <f t="shared" ref="AA39" si="9">IF(INT(Z39/2000)&gt;=1,INT(Z39/2000)&amp;" thùng + "&amp;MOD(Z39,2000)/100&amp;" túi ",VALUE(Z39/100)&amp;"túi")</f>
        <v>3.3túi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>
        <v>100</v>
      </c>
      <c r="AP44" s="278" t="str">
        <f>IF(INT(AO44/25)&gt;=1,INT(AO44/25)&amp;" thùng + "&amp;MOD(AO44,25)/20&amp;" cái ",VALUE(AO44)&amp;"cái")</f>
        <v xml:space="preserve">4 thùng + 0 cái 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900</v>
      </c>
      <c r="X47" s="278" t="str">
        <f>IF(INT(W47/50)&gt;=1,INT(W47/50)&amp;" thùng + "&amp;MOD(W47,50)/10&amp;" túi ",VALUE(W47/10)&amp;"túi")</f>
        <v xml:space="preserve">18 thùng + 0 túi </v>
      </c>
      <c r="Y47" s="291"/>
      <c r="Z47" s="244">
        <v>70</v>
      </c>
      <c r="AA47" s="278" t="str">
        <f>IF(INT(Z47/50)&gt;=1,INT(Z47/50)&amp;" thùng + "&amp;MOD(Z47,50)/10&amp;" túi ",VALUE(Z47/10)&amp;"túi")</f>
        <v xml:space="preserve">1 thùng + 2 túi 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>
        <v>100</v>
      </c>
      <c r="AP49" s="363" t="str">
        <f>IF(INT(AO49/200)&gt;=1,INT(AO49/200)&amp;" thùng + "&amp;MOD(AO49,200)/100&amp;" túi ",VALUE(AO49)&amp;"cái")</f>
        <v>100cái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290</v>
      </c>
      <c r="T50" s="316">
        <v>50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60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27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H19" sqref="H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483"/>
      <c r="G1" s="482"/>
      <c r="H1" s="978" t="s">
        <v>268</v>
      </c>
      <c r="I1" s="979"/>
      <c r="J1" s="979"/>
      <c r="K1" s="979"/>
      <c r="L1" s="980"/>
    </row>
    <row r="2" spans="1:12" ht="26.25" customHeight="1">
      <c r="A2" s="4" t="s">
        <v>289</v>
      </c>
      <c r="B2" s="141"/>
      <c r="C2" s="5"/>
      <c r="D2" s="1033" t="s">
        <v>260</v>
      </c>
      <c r="E2" s="1033"/>
      <c r="F2" s="1034"/>
      <c r="G2" s="490"/>
      <c r="H2" s="440" t="str">
        <f>A2</f>
        <v>Ngày 4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491">
        <v>4</v>
      </c>
      <c r="J3" s="491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491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484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 t="s">
        <v>297</v>
      </c>
      <c r="C9" s="276" t="e">
        <f>IF(INT(B9/4000)&gt;=1,INT(B9/4000)&amp;" thùng + "&amp;MOD(B9,4000)/100&amp;" túi ",VALUE(B9/100)&amp;"túi")</f>
        <v>#VALUE!</v>
      </c>
      <c r="D9" s="276"/>
      <c r="E9" s="455"/>
      <c r="F9" s="456"/>
      <c r="G9" s="433"/>
      <c r="H9" s="29" t="s">
        <v>51</v>
      </c>
      <c r="I9" s="270">
        <v>6000</v>
      </c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 t="s">
        <v>52</v>
      </c>
      <c r="I10" s="213">
        <v>6000</v>
      </c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 t="s">
        <v>61</v>
      </c>
      <c r="I11" s="212">
        <v>6000</v>
      </c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 t="s">
        <v>62</v>
      </c>
      <c r="I12" s="213">
        <v>6000</v>
      </c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 t="s">
        <v>291</v>
      </c>
      <c r="I13" s="212">
        <v>200</v>
      </c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 t="s">
        <v>292</v>
      </c>
      <c r="I14" s="214">
        <v>500</v>
      </c>
      <c r="J14" s="278"/>
      <c r="K14" s="45"/>
      <c r="L14" s="258"/>
    </row>
    <row r="15" spans="1:12" s="44" customFormat="1">
      <c r="A15" s="41" t="s">
        <v>59</v>
      </c>
      <c r="B15" s="337" t="s">
        <v>298</v>
      </c>
      <c r="C15" s="278" t="e">
        <f>IF(INT(B15/600)&gt;=1,INT(B15/600)&amp;" thùng + "&amp;MOD(B15,600)&amp;" cái",VALUE(B15/100)&amp;"túi")</f>
        <v>#VALUE!</v>
      </c>
      <c r="D15" s="278"/>
      <c r="E15" s="37"/>
      <c r="F15" s="40"/>
      <c r="G15" s="436"/>
      <c r="H15" s="29" t="s">
        <v>175</v>
      </c>
      <c r="I15" s="215">
        <v>870</v>
      </c>
      <c r="J15" s="278"/>
      <c r="K15" s="42"/>
      <c r="L15" s="258"/>
    </row>
    <row r="16" spans="1:12" s="35" customFormat="1">
      <c r="A16" s="29" t="s">
        <v>60</v>
      </c>
      <c r="B16" s="337" t="s">
        <v>298</v>
      </c>
      <c r="C16" s="278" t="e">
        <f>IF(INT(B16/500)&gt;=1,INT(B16/500)&amp;" thùng + "&amp;MOD(B16,500)&amp;" cái",VALUE(B16/100)&amp;"túi")</f>
        <v>#VALUE!</v>
      </c>
      <c r="D16" s="278"/>
      <c r="E16" s="30"/>
      <c r="F16" s="46"/>
      <c r="G16" s="434"/>
      <c r="H16" s="26" t="s">
        <v>293</v>
      </c>
      <c r="I16" s="215">
        <v>1800</v>
      </c>
      <c r="J16" s="278"/>
      <c r="K16" s="45"/>
      <c r="L16" s="258"/>
    </row>
    <row r="17" spans="1:12">
      <c r="A17" s="26" t="s">
        <v>82</v>
      </c>
      <c r="B17" s="337" t="s">
        <v>299</v>
      </c>
      <c r="C17" s="278" t="e">
        <f>IF(INT(B17/4000)&gt;=1,INT(B17/4000)&amp;" thùng + "&amp;MOD(B17,4000)&amp;" cái ",VALUE(B17/100)&amp;"túi")</f>
        <v>#VALUE!</v>
      </c>
      <c r="D17" s="278"/>
      <c r="E17" s="37"/>
      <c r="F17" s="43"/>
      <c r="G17" s="435"/>
      <c r="H17" s="29" t="s">
        <v>294</v>
      </c>
      <c r="I17" s="214">
        <v>400</v>
      </c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 t="s">
        <v>80</v>
      </c>
      <c r="I18" s="214">
        <v>200</v>
      </c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 t="s">
        <v>113</v>
      </c>
      <c r="I19" s="215">
        <v>2200</v>
      </c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 t="s">
        <v>300</v>
      </c>
      <c r="C28" s="278" t="e">
        <f>IF(INT(B28/300)&gt;=1,INT(B28/300)&amp;" thùng + "&amp;MOD(B28,300)/100&amp;" túi",VALUE(B28/100)&amp;"túi")</f>
        <v>#VALUE!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 t="s">
        <v>301</v>
      </c>
      <c r="C29" s="278" t="e">
        <f>IF(INT(B29/400)&gt;=1,INT(B29/400)&amp;" thùng + "&amp;MOD(B29,400)/100&amp;" túi",VALUE(B29/100)&amp;"túi")</f>
        <v>#VALUE!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 t="s">
        <v>301</v>
      </c>
      <c r="C30" s="278" t="e">
        <f>IF(INT(B30/100)&gt;=1,INT(B30/100)&amp;" thùng + "&amp;MOD(B30,100)&amp;" cái",VALUE(B30)&amp;"cái")</f>
        <v>#VALUE!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 t="s">
        <v>302</v>
      </c>
      <c r="C35" s="278" t="e">
        <f>IF(INT(B35/500)&gt;=1,INT(B35/500)&amp;" thùng + "&amp;MOD(B35,500)/100&amp;" túi",VALUE(B35/100)&amp;"túi")</f>
        <v>#VALUE!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 t="s">
        <v>296</v>
      </c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35" activePane="bottomLeft" state="frozen"/>
      <selection activeCell="Z27" sqref="Z27"/>
      <selection pane="bottomLeft" activeCell="AE17" sqref="AE17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493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495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494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303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5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5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5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5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496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505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496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496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06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06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504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502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503"/>
      <c r="K7" s="74" t="s">
        <v>63</v>
      </c>
      <c r="L7" s="74" t="s">
        <v>217</v>
      </c>
      <c r="M7" s="370" t="s">
        <v>230</v>
      </c>
      <c r="N7" s="932"/>
      <c r="O7" s="498" t="s">
        <v>63</v>
      </c>
      <c r="P7" s="498" t="s">
        <v>217</v>
      </c>
      <c r="Q7" s="371" t="s">
        <v>230</v>
      </c>
      <c r="S7" s="939"/>
      <c r="T7" s="74" t="s">
        <v>259</v>
      </c>
      <c r="U7" s="74" t="s">
        <v>217</v>
      </c>
      <c r="V7" s="498" t="s">
        <v>230</v>
      </c>
      <c r="W7" s="74" t="s">
        <v>63</v>
      </c>
      <c r="X7" s="74" t="s">
        <v>217</v>
      </c>
      <c r="Y7" s="498" t="s">
        <v>230</v>
      </c>
      <c r="Z7" s="315" t="s">
        <v>63</v>
      </c>
      <c r="AA7" s="498" t="s">
        <v>217</v>
      </c>
      <c r="AB7" s="394" t="s">
        <v>230</v>
      </c>
      <c r="AC7" s="420"/>
      <c r="AD7" s="1032"/>
      <c r="AE7" s="383" t="s">
        <v>63</v>
      </c>
      <c r="AF7" s="498" t="s">
        <v>217</v>
      </c>
      <c r="AG7" s="498" t="s">
        <v>230</v>
      </c>
      <c r="AH7" s="372" t="s">
        <v>63</v>
      </c>
      <c r="AI7" s="498" t="s">
        <v>217</v>
      </c>
      <c r="AJ7" s="498" t="s">
        <v>230</v>
      </c>
      <c r="AK7" s="497" t="s">
        <v>63</v>
      </c>
      <c r="AL7" s="340" t="s">
        <v>217</v>
      </c>
      <c r="AM7" s="420"/>
      <c r="AN7" s="1021"/>
      <c r="AO7" s="372" t="s">
        <v>63</v>
      </c>
      <c r="AP7" s="498" t="s">
        <v>217</v>
      </c>
      <c r="AQ7" s="498" t="s">
        <v>230</v>
      </c>
      <c r="AR7" s="498" t="s">
        <v>63</v>
      </c>
      <c r="AS7" s="498" t="s">
        <v>217</v>
      </c>
      <c r="AT7" s="498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290</v>
      </c>
      <c r="AI8" s="276" t="str">
        <f>IF(INT(AH8/4000)&gt;=1,INT(AH8/4000)&amp;" thùng + "&amp;MOD(AH8,4000)/100&amp;" túi ",VALUE(AH8/100)&amp;"túi")</f>
        <v>2.9túi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 t="s">
        <v>304</v>
      </c>
      <c r="X9" s="278" t="e">
        <f>IF(INT(W9/4000)&gt;=1,INT(W9/4000)&amp;" thùng + "&amp;MOD(W9,4000)/100&amp;" túi ",VALUE(W9/100)&amp;"túi")</f>
        <v>#VALUE!</v>
      </c>
      <c r="Y9" s="313"/>
      <c r="Z9" s="245" t="s">
        <v>314</v>
      </c>
      <c r="AA9" s="278" t="e">
        <f>IF(INT(Z9/4000)&gt;=1,INT(Z9/4000)&amp;" thùng + "&amp;MOD(Z9,4000)/100&amp;" túi ",VALUE(Z9/100)&amp;"túi")</f>
        <v>#VALUE!</v>
      </c>
      <c r="AB9" s="397"/>
      <c r="AC9" s="422"/>
      <c r="AD9" s="112" t="s">
        <v>238</v>
      </c>
      <c r="AE9" s="242"/>
      <c r="AF9" s="279"/>
      <c r="AG9" s="293"/>
      <c r="AH9" s="242">
        <v>290</v>
      </c>
      <c r="AI9" s="277" t="str">
        <f>IF(INT(AH9/500)&gt;=1,INT(AH9/500)&amp;" thùng + "&amp;MOD(AH9,500)/100&amp;" túi ",VALUE(AH9/100)&amp;"túi")</f>
        <v>2.9túi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1000</v>
      </c>
      <c r="AF10" s="278" t="str">
        <f>IF(INT(AE10/500)&gt;=1,INT(AE10/500)&amp;" thùng + "&amp;MOD(AE10,500)/100&amp;" túi ",VALUE(AE10/100)&amp;"túi")</f>
        <v xml:space="preserve">2 thùng + 0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 t="s">
        <v>309</v>
      </c>
      <c r="AP10" s="278" t="e">
        <f>IF(INT(AO10/500)&gt;=1,INT(AO10/500)&amp;" thùng + "&amp;MOD(AO10,500)/100&amp;" túi ",VALUE(AO10/100)&amp;"túi")</f>
        <v>#VALUE!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400</v>
      </c>
      <c r="AI11" s="277" t="str">
        <f>IF(INT(AH11/2000)&gt;=1,INT(AH11/2000)&amp;" thùng + "&amp;MOD(AH11,2000)/100&amp;" túi ",VALUE(AH11/100)&amp;"túi")</f>
        <v>4túi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>
        <v>2600</v>
      </c>
      <c r="C12" s="277" t="str">
        <f>IF(INT(B12/2000)&gt;=1,INT(B12/2000)&amp;" thùng + "&amp;MOD(B12,2000)/100&amp;" túi ",VALUE(B12/100)&amp;"túi")</f>
        <v xml:space="preserve">1 thùng + 6 túi </v>
      </c>
      <c r="D12" s="312"/>
      <c r="E12" s="71" t="s">
        <v>112</v>
      </c>
      <c r="F12" s="244"/>
      <c r="G12" s="277" t="str">
        <f>IF(INT(F12/2000)&gt;=1,INT(F12/2000)&amp;" thùng + "&amp;MOD(F12,2000)/100&amp;" túi ",VALUE(F12/100)&amp;"túi")</f>
        <v>0túi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>
        <v>344</v>
      </c>
      <c r="AA12" s="278" t="str">
        <f t="shared" ref="AA12" si="2">IF(INT(Z12/2000)&gt;=1,INT(Z12/2000)&amp;" thùng + "&amp;MOD(Z12,2000)/100&amp;" túi ",VALUE(Z12/100)&amp;"túi")</f>
        <v>3.44túi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400</v>
      </c>
      <c r="AP12" s="385" t="str">
        <f t="shared" ref="AP12" si="3">IF(INT(AO12/2000)&gt;=1,INT(AO12/2000)&amp;" thùng + "&amp;MOD(AO12,2000)/100&amp;" túi ",VALUE(AO12/100)&amp;"túi")</f>
        <v>4túi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200</v>
      </c>
      <c r="AI15" s="277" t="str">
        <f>IF(INT(AH15/600)&gt;=1,INT(AH15/600)&amp;" thùng + "&amp;MOD(AH15,600)/100&amp;" túi ",VALUE(AH15/100)&amp;"túi")</f>
        <v>2túi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200</v>
      </c>
      <c r="AI17" s="277" t="str">
        <f>IF(INT(AH17/200)&gt;=1,INT(AH17/200)&amp;" thùng + "&amp;MOD(AH17,200)/50&amp;" túi ",VALUE(AH17/50)&amp;"túi")</f>
        <v xml:space="preserve">1 thùng + 0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700</v>
      </c>
      <c r="X18" s="278" t="str">
        <f>IF(INT(W18/200)&gt;=1,INT(W18/200)&amp;" thùng + "&amp;MOD(W18,200)/50&amp;" túi ",VALUE(W18/50)&amp;"túi")</f>
        <v xml:space="preserve">3 thùng + 2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 t="s">
        <v>285</v>
      </c>
      <c r="AF18" s="278" t="e">
        <f>IF(INT(AE18/1200)&gt;=1,INT(AE18/1200)&amp;" thùng + "&amp;MOD(AE18,1200)/100&amp;" túi ",VALUE(AE18/100)&amp;"túi")</f>
        <v>#VALUE!</v>
      </c>
      <c r="AG18" s="292"/>
      <c r="AH18" s="244">
        <v>290</v>
      </c>
      <c r="AI18" s="277" t="str">
        <f>IF(INT(AH18/600)&gt;=1,INT(AH18/600)&amp;" thùng + "&amp;MOD(AH18,600)&amp;" cái ",VALUE(AH18/100)&amp;"túi")</f>
        <v>2.9túi</v>
      </c>
      <c r="AJ18" s="292"/>
      <c r="AK18" s="246"/>
      <c r="AL18" s="102"/>
      <c r="AM18" s="417"/>
      <c r="AN18" s="103" t="s">
        <v>81</v>
      </c>
      <c r="AO18" s="441" t="s">
        <v>309</v>
      </c>
      <c r="AP18" s="278" t="e">
        <f>IF(INT(AO18/1200)&gt;=1,INT(AO18/1200)&amp;" thùng + "&amp;MOD(AO18,1200)/100&amp;" túi ",VALUE(AO18/100)&amp;"túi")</f>
        <v>#VALUE!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19000</v>
      </c>
      <c r="G19" s="277" t="str">
        <f>IF(INT(F19/4000)&gt;=1,INT(F19/4000)&amp;" thùng + "&amp;MOD(F19,4000)/100&amp;" túi ",VALUE(F19/100)&amp;"túi")</f>
        <v xml:space="preserve">4 thùng + 30 túi </v>
      </c>
      <c r="H19" s="346"/>
      <c r="J19" s="234" t="s">
        <v>113</v>
      </c>
      <c r="K19" s="242">
        <v>20400</v>
      </c>
      <c r="L19" s="277" t="str">
        <f>IF(INT(K19/4000)&gt;=1,INT(K19/4000)&amp;" thùng + "&amp;MOD(K19,4000)/100&amp;" túi ",VALUE(K19/100)&amp;"túi")</f>
        <v xml:space="preserve">5 thùng + 4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 t="s">
        <v>305</v>
      </c>
      <c r="X19" s="277" t="e">
        <f>IF(INT(W19/4000)&gt;=1,INT(W19/4000)&amp;" thùng + "&amp;MOD(W19,4000)&amp;" cái ",VALUE(W19/100)&amp;"túi")</f>
        <v>#VALUE!</v>
      </c>
      <c r="Y19" s="291"/>
      <c r="Z19" s="244" t="s">
        <v>315</v>
      </c>
      <c r="AA19" s="278" t="e">
        <f>IF(INT(Z19/4000)&gt;=1,INT(Z19/4000)&amp;" thùng + "&amp;MOD(Z19,4000)/100&amp;" túi ",VALUE(Z19/100)&amp;"túi")</f>
        <v>#VALUE!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1400</v>
      </c>
      <c r="AI19" s="277" t="str">
        <f>IF(INT(AH19/4000)&gt;=1,INT(AH19/4000)&amp;" thùng + "&amp;MOD(AH19,4000)&amp;" cái ",VALUE(AH19/100)&amp;"túi")</f>
        <v>14túi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1600</v>
      </c>
      <c r="AS19" s="277" t="str">
        <f>IF(INT(AR19/4000)&gt;=1,INT(AR19/4000)&amp;" thùng + "&amp;MOD(AR19,4000)&amp;" cái ",VALUE(AR19/100)&amp;"túi")</f>
        <v>16túi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400</v>
      </c>
      <c r="AI20" s="278" t="str">
        <f>IF(INT(AH20/2000)&gt;=1,INT(AH20/2000)&amp;" thùng + "&amp;MOD(AH20,2000)/100&amp;" túi ",VALUE(AH20/100)&amp;"túi")</f>
        <v>4túi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800</v>
      </c>
      <c r="L21" s="363" t="str">
        <f>IF(INT(K21/100)&gt;=1,INT(K21/100)&amp;" thùng + "&amp;MOD(K21,100)&amp;" cái ",VALUE(K21/100)&amp;"cái")</f>
        <v xml:space="preserve">8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228</v>
      </c>
      <c r="AA21" s="278" t="str">
        <f>IF(INT(Z21/400)&gt;=1,INT(Z21/400)&amp;" thùng + "&amp;MOD(Z21,400)/100&amp;" túi ",VALUE(Z21/100)&amp;"túi")</f>
        <v>2.28túi</v>
      </c>
      <c r="AB21" s="398"/>
      <c r="AC21" s="423"/>
      <c r="AD21" s="116" t="s">
        <v>56</v>
      </c>
      <c r="AE21" s="250"/>
      <c r="AF21" s="286"/>
      <c r="AG21" s="305"/>
      <c r="AH21" s="250">
        <v>400</v>
      </c>
      <c r="AI21" s="277" t="str">
        <f>IF(INT(AH21/100)&gt;=1,INT(AH21/100)&amp;" thùng + "&amp;MOD(AH21,100)/100&amp;" túi ",VALUE(AH21/100)&amp;"túi")</f>
        <v xml:space="preserve">4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800</v>
      </c>
      <c r="L22" s="363" t="str">
        <f>IF(INT(K22/100)&gt;=1,INT(K22/100)&amp;" thùng + "&amp;MOD(K22,100)&amp;" cái ",VALUE(K22/100)&amp;"cái")</f>
        <v xml:space="preserve">8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 t="s">
        <v>306</v>
      </c>
      <c r="X22" s="278" t="e">
        <f>IF(INT(W22/300)&gt;=1,INT(W22/300)&amp;" thùng + "&amp;MOD(W22,300)/100&amp;" túi ",VALUE(W22/100)&amp;"túi")</f>
        <v>#VALUE!</v>
      </c>
      <c r="Y22" s="292"/>
      <c r="Z22" s="321" t="s">
        <v>311</v>
      </c>
      <c r="AA22" s="278" t="e">
        <f>IF(INT(Z22/300)&gt;=1,INT(Z22/300)&amp;" thùng + "&amp;MOD(Z22,300)/100&amp;" túi ",VALUE(Z22/100)&amp;"túi")</f>
        <v>#VALUE!</v>
      </c>
      <c r="AB22" s="397"/>
      <c r="AC22" s="422"/>
      <c r="AD22" s="100" t="s">
        <v>1</v>
      </c>
      <c r="AE22" s="251"/>
      <c r="AF22" s="287"/>
      <c r="AG22" s="306"/>
      <c r="AH22" s="251">
        <v>400</v>
      </c>
      <c r="AI22" s="278" t="str">
        <f>IF(INT(AH22/100)&gt;=1,INT(AH22/100)&amp;" thùng + "&amp;MOD(AH22,100)/100&amp;" túi ",VALUE(AH22/100)&amp;"túi")</f>
        <v xml:space="preserve">4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 t="s">
        <v>307</v>
      </c>
      <c r="X23" s="277" t="e">
        <f>IF(INT(W23/600)&gt;=1,INT(W23/600)&amp;" thùng + "&amp;MOD(W23,600)/100&amp;" túi ",VALUE(W23/100)&amp;"túi")</f>
        <v>#VALUE!</v>
      </c>
      <c r="Y23" s="291"/>
      <c r="Z23" s="244" t="s">
        <v>316</v>
      </c>
      <c r="AA23" s="277" t="e">
        <f>IF(INT(Z23/600)&gt;=1,INT(Z23/600)&amp;" thùng + "&amp;MOD(Z23,600)/100&amp;" túi ",VALUE(Z23/100)&amp;"túi")</f>
        <v>#VALUE!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800</v>
      </c>
      <c r="G24" s="277" t="str">
        <f>IF(INT(F24/1000)&gt;=1,INT(F24/1000)&amp;" thùng + "&amp;MOD(F24,1000)/100&amp;" túi ",VALUE(F24/100)&amp;"túi")</f>
        <v>8túi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 t="s">
        <v>307</v>
      </c>
      <c r="X24" s="277" t="e">
        <f>IF(INT(W24/500)&gt;=1,INT(W24/500)&amp;" thùng + "&amp;MOD(W24,500)/100&amp;" túi ",VALUE(W24/100)&amp;"túi")</f>
        <v>#VALUE!</v>
      </c>
      <c r="Y24" s="292"/>
      <c r="Z24" s="321" t="s">
        <v>313</v>
      </c>
      <c r="AA24" s="277" t="e">
        <f>IF(INT(Z24/500)&gt;=1,INT(Z24/500)&amp;" thùng + "&amp;MOD(Z24,500)/100&amp;" túi ",VALUE(Z24/100)&amp;"túi")</f>
        <v>#VALUE!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>
        <v>100</v>
      </c>
      <c r="AP25" s="277" t="str">
        <f>IF(INT(AO25/500)&gt;=1,INT(AO25/500)&amp;" thùng + "&amp;MOD(AO25,500)/100&amp;" túi ",VALUE(AO25/100)&amp;"túi")</f>
        <v>1túi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1920</v>
      </c>
      <c r="U26" s="278" t="str">
        <f>IF(INT(T26/4000)&gt;=1,INT(T26/4000)&amp;" thùng + "&amp;MOD(T26,4000)/100&amp;" túi ",VALUE(T26/100)&amp;"túi")</f>
        <v>19.2túi</v>
      </c>
      <c r="V26" s="291"/>
      <c r="W26" s="244">
        <v>3460</v>
      </c>
      <c r="X26" s="278" t="str">
        <f>IF(INT(W26/4000)&gt;=1,INT(W26/4000)&amp;" thùng + "&amp;MOD(W26,4000)/100&amp;" túi ",VALUE(W26/100)&amp;"túi")</f>
        <v>34.6túi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 t="s">
        <v>310</v>
      </c>
      <c r="AF26" s="288" t="e">
        <f>IF(INT(AE26/4000)&gt;=1,INT(AE26/4000)&amp;" thùng + "&amp;MOD(AE26,4000)/100&amp;" túi ",VALUE(AE26/100)&amp;"túi")</f>
        <v>#VALUE!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800</v>
      </c>
      <c r="P27" s="363" t="str">
        <f>IF(INT(O27/50)&gt;=1,INT(O27/50)&amp;" thùng + "&amp;MOD(O27,50)&amp;" cái ",VALUE(O27/50)&amp;"cái")</f>
        <v xml:space="preserve">16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 t="s">
        <v>317</v>
      </c>
      <c r="AA27" s="278" t="e">
        <f>IF(INT(Z27/400)&gt;=1,INT(Z27/400)&amp;" thùng + "&amp;MOD(Z27,400)/100&amp;" túi ",VALUE(Z27/100)&amp;"túi")</f>
        <v>#VALUE!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228</v>
      </c>
      <c r="AA28" s="278" t="str">
        <f>IF(INT(Z28/1000)&gt;=1,INT(Z28/1000)&amp;" thùng + "&amp;MOD(Z28,1000)/100&amp;" túi ",VALUE(Z28/100)&amp;"túi")</f>
        <v>2.28túi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/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228</v>
      </c>
      <c r="AA29" s="278" t="str">
        <f>IF(INT(Z29/200)&gt;=1,INT(Z29/200)&amp;" thùng + "&amp;MOD(Z29,200)/50&amp;" túi ",VALUE(Z29/50)&amp;"túi")</f>
        <v xml:space="preserve">1 thùng + 0.56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>
        <v>100</v>
      </c>
      <c r="AP29" s="278" t="str">
        <f>IF(INT(AO29/6000)&gt;=1,INT(AO29/6000)&amp;" thùng + "&amp;MOD(AO29,6000)/100&amp;" túi ",VALUE(AO29/100)&amp;"túi")</f>
        <v>1túi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1000</v>
      </c>
      <c r="L30" s="363" t="str">
        <f>IF(INT(K30/100)&gt;=1,INT(K30/100)&amp;" thùng + "&amp;MOD(K30,100)&amp;" cái ",VALUE(K30/100)&amp;"cái")</f>
        <v xml:space="preserve">10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3600</v>
      </c>
      <c r="C32" s="277" t="str">
        <f>IF(INT(B32/100)&gt;=1,INT(B32/100)&amp;" thùng + "&amp;MOD(B32,100)/100&amp;" cái ",VALUE(B32/100)&amp;"cái")</f>
        <v xml:space="preserve">36 thùng + 0 cái </v>
      </c>
      <c r="D32" s="291"/>
      <c r="E32" s="71"/>
      <c r="F32" s="244"/>
      <c r="G32" s="280"/>
      <c r="H32" s="352"/>
      <c r="J32" s="206" t="s">
        <v>19</v>
      </c>
      <c r="K32" s="326">
        <v>1000</v>
      </c>
      <c r="L32" s="363" t="str">
        <f>IF(INT(K32/100)&gt;=1,INT(K32/100)&amp;" thùng + "&amp;MOD(K32,100)&amp;" cái ",VALUE(K32/100)&amp;"cái")</f>
        <v xml:space="preserve">10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>
        <v>344</v>
      </c>
      <c r="AA33" s="278" t="str">
        <f>IF(INT(Z33/300)&gt;=1,INT(Z33/300)&amp;" thùng + "&amp;MOD(Z33,300)/100&amp;" túi ",VALUE(Z33/100)&amp;"túi")</f>
        <v xml:space="preserve">1 thùng + 0.44 túi 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700</v>
      </c>
      <c r="L34" s="277" t="str">
        <f>IF(INT(K34/1000)&gt;=1,INT(K34/1000)&amp;" thùng + "&amp;MOD(K34,1000)/100&amp;" túi ",VALUE(K34/100)&amp;"túi")</f>
        <v>7túi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800</v>
      </c>
      <c r="X34" s="278" t="str">
        <f>IF(INT(W34/1000)&gt;=1,INT(W34/1000)&amp;" thùng + "&amp;MOD(W34,1000)/100&amp;" túi ",VALUE(W34/100)&amp;"túi")</f>
        <v>8túi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456</v>
      </c>
      <c r="AA35" s="278" t="str">
        <f>IF(INT(Z35/4000)&gt;=1,INT(Z35/4000)&amp;" thùng + "&amp;MOD(Z35,4000)/100&amp;" túi ",VALUE(Z35/100)&amp;"túi")</f>
        <v>4.56túi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456</v>
      </c>
      <c r="AA36" s="277" t="str">
        <f>IF(INT(Z36/50)&gt;=1,INT(Z36/50)&amp;" thùng + "&amp;MOD(Z36,50)&amp;" cái ",VALUE(Z36)&amp;"cái")</f>
        <v xml:space="preserve">9 thùng + 6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452</v>
      </c>
      <c r="AA37" s="277" t="str">
        <f>IF(INT(Z37/1000)&gt;=1,INT(Z37/1000)&amp;" thùng + "&amp;MOD(Z37,1000)/100&amp;" túi ",VALUE(Z37/100)&amp;"túi")</f>
        <v>4.52túi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912</v>
      </c>
      <c r="AA38" s="278" t="str">
        <f>IF(INT(Z38/3000)&gt;=1,INT(Z38/3000)&amp;" thùng + "&amp;MOD(Z38,3000)/100&amp;" túi ",VALUE(Z38/100)&amp;"túi")</f>
        <v>9.12túi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228</v>
      </c>
      <c r="AA39" s="278" t="str">
        <f t="shared" ref="AA39" si="9">IF(INT(Z39/2000)&gt;=1,INT(Z39/2000)&amp;" thùng + "&amp;MOD(Z39,2000)/100&amp;" túi ",VALUE(Z39/100)&amp;"túi")</f>
        <v>2.28túi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>
        <v>100</v>
      </c>
      <c r="AP44" s="278" t="str">
        <f>IF(INT(AO44/25)&gt;=1,INT(AO44/25)&amp;" thùng + "&amp;MOD(AO44,25)/20&amp;" cái ",VALUE(AO44)&amp;"cái")</f>
        <v xml:space="preserve">4 thùng + 0 cái 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 t="s">
        <v>308</v>
      </c>
      <c r="X45" s="277" t="e">
        <f>IF(INT(W45/400)&gt;=1,INT(W45/400)&amp;" thùng + "&amp;MOD(W45,400)/100&amp;" túi ",VALUE(W45)&amp;"cái")</f>
        <v>#VALUE!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 t="s">
        <v>308</v>
      </c>
      <c r="X46" s="278" t="e">
        <f>IF(INT(W46/100)&gt;=1,INT(W46/100)&amp;" thùng + "&amp;MOD(W46,100)/100&amp;" túi ",VALUE(W46)&amp;"cái")</f>
        <v>#VALUE!</v>
      </c>
      <c r="Y46" s="314"/>
      <c r="Z46" s="509" t="s">
        <v>312</v>
      </c>
      <c r="AA46" s="278" t="e">
        <f>IF(INT(Z46/100)&gt;=1,INT(Z46/100)&amp;" thùng + "&amp;MOD(Z46,100)&amp;" cái ",VALUE(Z46)&amp;"cái")</f>
        <v>#VALUE!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>
        <v>172</v>
      </c>
      <c r="AA47" s="278" t="str">
        <f>IF(INT(Z47/50)&gt;=1,INT(Z47/50)&amp;" thùng + "&amp;MOD(Z47,50)/10&amp;" túi ",VALUE(Z47/10)&amp;"túi")</f>
        <v xml:space="preserve">3 thùng + 2.2 túi 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1400</v>
      </c>
      <c r="X48" s="278" t="str">
        <f>IF(INT(W48/100)&gt;=1,INT(W48/100)&amp;" thùng + "&amp;MOD(W48,100)/100&amp;" túi ",VALUE(W48)&amp;"cái")</f>
        <v xml:space="preserve">14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>
        <v>47</v>
      </c>
      <c r="AA49" s="277" t="str">
        <f>IF(INT(Z49/600)&gt;=1,INT(Z49/600)&amp;" thùng + "&amp;MOD(Z49,600)/20&amp;" túi ",VALUE(Z49)&amp;"cái")</f>
        <v>47cái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>
        <v>100</v>
      </c>
      <c r="AP49" s="363" t="str">
        <f>IF(INT(AO49/200)&gt;=1,INT(AO49/200)&amp;" thùng + "&amp;MOD(AO49,200)/100&amp;" túi ",VALUE(AO49)&amp;"cái")</f>
        <v>100cái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290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60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27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800</v>
      </c>
      <c r="AP54" s="389" t="str">
        <f>IF(INT(AO54/3000)&gt;=1,INT(AO54/3000)&amp;" thùng + "&amp;MOD(AO54,3000)/100&amp;" túi ",VALUE(AO54/100)&amp;"túi")</f>
        <v>8túi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8" sqref="B18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00"/>
      <c r="G1" s="499"/>
      <c r="H1" s="978" t="s">
        <v>268</v>
      </c>
      <c r="I1" s="979"/>
      <c r="J1" s="979"/>
      <c r="K1" s="979"/>
      <c r="L1" s="980"/>
    </row>
    <row r="2" spans="1:12" ht="26.25" customHeight="1">
      <c r="A2" s="4" t="s">
        <v>303</v>
      </c>
      <c r="B2" s="141"/>
      <c r="C2" s="5"/>
      <c r="D2" s="1033" t="s">
        <v>260</v>
      </c>
      <c r="E2" s="1033"/>
      <c r="F2" s="1034"/>
      <c r="G2" s="507"/>
      <c r="H2" s="440" t="str">
        <f>A2</f>
        <v>Ngày 5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508">
        <v>4</v>
      </c>
      <c r="J3" s="508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508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01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400</v>
      </c>
      <c r="C19" s="278" t="str">
        <f>IF(INT(B19/6000)&gt;=1,INT(B19/6000)&amp;" thùng + "&amp;MOD(B19,6000)/100&amp;" túi ",VALUE(B19/100)&amp;"túi")</f>
        <v>4túi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400</v>
      </c>
      <c r="C20" s="278" t="str">
        <f>IF(INT(B20/1200)&gt;=1,INT(B20/1200)&amp;" thùng + "&amp;MOD(B20,1200)/100&amp;" túi ",VALUE(B20/100)&amp;"túi")</f>
        <v>4túi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400</v>
      </c>
      <c r="C21" s="277" t="str">
        <f>IF(INT(B21/25)&gt;=1,INT(B21/25)&amp;" thùng + "&amp;MOD(B21,25)&amp;" cái ",VALUE(B21/25)&amp;"cái")</f>
        <v xml:space="preserve">16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800</v>
      </c>
      <c r="C22" s="278" t="str">
        <f>IF(INT(B22/100)&gt;=1,INT(B22/100)&amp;" thùng + "&amp;MOD(B22,100)/100&amp;" túi ",VALUE(B22/100)&amp;"túi")</f>
        <v xml:space="preserve">8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800</v>
      </c>
      <c r="C23" s="278" t="str">
        <f t="shared" ref="C23" si="0">IF(INT(B23/2000)&gt;=1,INT(B23/2000)&amp;" thùng + "&amp;MOD(B23,2000)/100&amp;" túi ",VALUE(B23/100)&amp;"túi")</f>
        <v>8túi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800</v>
      </c>
      <c r="C24" s="278" t="str">
        <f>IF(INT(B24/100)&gt;=1,INT(B24/100)&amp;" thùng + "&amp;MOD(B24,100)/100&amp;" túi ",VALUE(B24/100)&amp;"túi")</f>
        <v xml:space="preserve">8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400</v>
      </c>
      <c r="C25" s="278" t="str">
        <f>IF(INT(B25/500)&gt;=1,INT(B25/500)&amp;" thùng + "&amp;MOD(B25,500)/100&amp;" túi ",VALUE(B25/100)&amp;"túi")</f>
        <v>4túi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400</v>
      </c>
      <c r="C26" s="278" t="str">
        <f>IF(INT(B26/500)&gt;=1,INT(B26/500)&amp;" thùng + "&amp;MOD(B26,500)/100&amp;" túi ",VALUE(B26/100)&amp;"túi")</f>
        <v>4túi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400</v>
      </c>
      <c r="C27" s="278" t="str">
        <f>IF(INT(B27/200)&gt;=1,INT(B27/200)&amp;" thùng + "&amp;MOD(B27,200)/100&amp;" túi ",VALUE(B27/100)&amp;"cái")</f>
        <v xml:space="preserve">2 thùng + 0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800</v>
      </c>
      <c r="C36" s="278" t="str">
        <f t="shared" ref="C36" si="1">IF(INT(B36/2000)&gt;=1,INT(B36/2000)&amp;" thùng + "&amp;MOD(B36,2000)/100&amp;" túi ",VALUE(B36/100)&amp;"túi")</f>
        <v>8túi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9" activePane="bottomLeft" state="frozen"/>
      <selection activeCell="Z27" sqref="Z27"/>
      <selection pane="bottomLeft" activeCell="Z19" sqref="Z1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510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512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511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318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6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6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6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6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513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522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513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513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23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23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521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519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520"/>
      <c r="K7" s="74" t="s">
        <v>63</v>
      </c>
      <c r="L7" s="74" t="s">
        <v>217</v>
      </c>
      <c r="M7" s="370" t="s">
        <v>230</v>
      </c>
      <c r="N7" s="932"/>
      <c r="O7" s="515" t="s">
        <v>63</v>
      </c>
      <c r="P7" s="515" t="s">
        <v>217</v>
      </c>
      <c r="Q7" s="371" t="s">
        <v>230</v>
      </c>
      <c r="S7" s="939"/>
      <c r="T7" s="74" t="s">
        <v>259</v>
      </c>
      <c r="U7" s="74" t="s">
        <v>217</v>
      </c>
      <c r="V7" s="515" t="s">
        <v>230</v>
      </c>
      <c r="W7" s="74" t="s">
        <v>63</v>
      </c>
      <c r="X7" s="74" t="s">
        <v>217</v>
      </c>
      <c r="Y7" s="515" t="s">
        <v>230</v>
      </c>
      <c r="Z7" s="315" t="s">
        <v>63</v>
      </c>
      <c r="AA7" s="515" t="s">
        <v>217</v>
      </c>
      <c r="AB7" s="394" t="s">
        <v>230</v>
      </c>
      <c r="AC7" s="420"/>
      <c r="AD7" s="1032"/>
      <c r="AE7" s="383" t="s">
        <v>63</v>
      </c>
      <c r="AF7" s="515" t="s">
        <v>217</v>
      </c>
      <c r="AG7" s="515" t="s">
        <v>230</v>
      </c>
      <c r="AH7" s="372" t="s">
        <v>63</v>
      </c>
      <c r="AI7" s="515" t="s">
        <v>217</v>
      </c>
      <c r="AJ7" s="515" t="s">
        <v>230</v>
      </c>
      <c r="AK7" s="514" t="s">
        <v>63</v>
      </c>
      <c r="AL7" s="340" t="s">
        <v>217</v>
      </c>
      <c r="AM7" s="420"/>
      <c r="AN7" s="1021"/>
      <c r="AO7" s="372" t="s">
        <v>63</v>
      </c>
      <c r="AP7" s="515" t="s">
        <v>217</v>
      </c>
      <c r="AQ7" s="515" t="s">
        <v>230</v>
      </c>
      <c r="AR7" s="515" t="s">
        <v>63</v>
      </c>
      <c r="AS7" s="515" t="s">
        <v>217</v>
      </c>
      <c r="AT7" s="515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400</v>
      </c>
      <c r="L8" s="276" t="str">
        <f>IF(INT(K8/4000)&gt;=1,INT(K8/4000)&amp;" thùng + "&amp;MOD(K8,4000)/100&amp;" túi ",VALUE(K8/100)&amp;"túi")</f>
        <v>4túi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400</v>
      </c>
      <c r="L9" s="277" t="str">
        <f>IF(INT(K9/500)&gt;=1,INT(K9/500)&amp;" thùng + "&amp;MOD(K9,500)/100&amp;" túi ",VALUE(K9/100)&amp;"túi")</f>
        <v>4túi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900</v>
      </c>
      <c r="X9" s="278" t="str">
        <f>IF(INT(W9/4000)&gt;=1,INT(W9/4000)&amp;" thùng + "&amp;MOD(W9,4000)/100&amp;" túi ",VALUE(W9/100)&amp;"túi")</f>
        <v>9túi</v>
      </c>
      <c r="Y9" s="313"/>
      <c r="Z9" s="245">
        <v>500</v>
      </c>
      <c r="AA9" s="278" t="str">
        <f>IF(INT(Z9/4000)&gt;=1,INT(Z9/4000)&amp;" thùng + "&amp;MOD(Z9,4000)/100&amp;" túi ",VALUE(Z9/100)&amp;"túi")</f>
        <v>5túi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1000</v>
      </c>
      <c r="AI11" s="277" t="str">
        <f>IF(INT(AH11/2000)&gt;=1,INT(AH11/2000)&amp;" thùng + "&amp;MOD(AH11,2000)/100&amp;" túi ",VALUE(AH11/100)&amp;"túi")</f>
        <v>10túi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2700</v>
      </c>
      <c r="G12" s="277" t="str">
        <f>IF(INT(F12/2000)&gt;=1,INT(F12/2000)&amp;" thùng + "&amp;MOD(F12,2000)/100&amp;" túi ",VALUE(F12/100)&amp;"túi")</f>
        <v xml:space="preserve">1 thùng + 7 túi </v>
      </c>
      <c r="H12" s="343"/>
      <c r="J12" s="105" t="s">
        <v>112</v>
      </c>
      <c r="K12" s="244">
        <v>2800</v>
      </c>
      <c r="L12" s="278" t="str">
        <f t="shared" si="0"/>
        <v xml:space="preserve">1 thùng + 8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2600</v>
      </c>
      <c r="X12" s="278" t="str">
        <f t="shared" ref="X12" si="1">IF(INT(W12/2000)&gt;=1,INT(W12/2000)&amp;" thùng + "&amp;MOD(W12,2000)/100&amp;" túi ",VALUE(W12/100)&amp;"túi")</f>
        <v xml:space="preserve">1 thùng + 6 túi </v>
      </c>
      <c r="Y12" s="292"/>
      <c r="Z12" s="244">
        <v>94</v>
      </c>
      <c r="AA12" s="278" t="str">
        <f t="shared" ref="AA12" si="2">IF(INT(Z12/2000)&gt;=1,INT(Z12/2000)&amp;" thùng + "&amp;MOD(Z12,2000)/100&amp;" túi ",VALUE(Z12/100)&amp;"túi")</f>
        <v>0.94túi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1300</v>
      </c>
      <c r="X13" s="277" t="str">
        <f>IF(INT(W13/600)&gt;=1,INT(W13/600)&amp;" thùng + "&amp;MOD(W13,600)/100&amp;" túi ",VALUE(W13/100)&amp;"túi")</f>
        <v xml:space="preserve">2 thùng + 1 túi </v>
      </c>
      <c r="Y13" s="291"/>
      <c r="Z13" s="244">
        <v>652</v>
      </c>
      <c r="AA13" s="277" t="str">
        <f>IF(INT(Z13/600)&gt;=1,INT(Z13/600)&amp;" thùng + "&amp;MOD(Z13,600)&amp;" cái ",VALUE(Z13)&amp;"cái")</f>
        <v xml:space="preserve">1 thùng + 52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162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1300</v>
      </c>
      <c r="X14" s="278" t="str">
        <f>IF(INT(W14/400)&gt;=1,INT(W14/400)&amp;" thùng + "&amp;MOD(W14,400)/100&amp;" túi ",VALUE(W14/100)&amp;"túi")</f>
        <v xml:space="preserve">3 thùng + 1 túi </v>
      </c>
      <c r="Y14" s="292"/>
      <c r="Z14" s="244">
        <v>652</v>
      </c>
      <c r="AA14" s="278" t="str">
        <f>IF(INT(Z14/400)&gt;=1,INT(Z14/400)&amp;" thùng + "&amp;MOD(Z14,400)&amp;" cái ",VALUE(Z14/100)&amp;"túi")</f>
        <v xml:space="preserve">1 thùng + 252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162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1300</v>
      </c>
      <c r="X15" s="277" t="str">
        <f>IF(INT(W15/600)&gt;=1,INT(W15/600)&amp;" thùng + "&amp;MOD(W15,600)/100&amp;" túi ",VALUE(W15/100)&amp;"túi")</f>
        <v xml:space="preserve">2 thùng + 1 túi </v>
      </c>
      <c r="Y15" s="291"/>
      <c r="Z15" s="244">
        <v>652</v>
      </c>
      <c r="AA15" s="277" t="str">
        <f>IF(INT(Z15/600)&gt;=1,INT(Z15/600)&amp;" thùng + "&amp;MOD(Z15,600)&amp;" cái ",VALUE(Z15)&amp;"cái")</f>
        <v xml:space="preserve">1 thùng + 52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500</v>
      </c>
      <c r="AI15" s="277" t="str">
        <f>IF(INT(AH15/600)&gt;=1,INT(AH15/600)&amp;" thùng + "&amp;MOD(AH15,600)/100&amp;" túi ",VALUE(AH15/100)&amp;"túi")</f>
        <v>5túi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1300</v>
      </c>
      <c r="X16" s="278" t="str">
        <f>IF(INT(W16/400)&gt;=1,INT(W16/400)&amp;" thùng + "&amp;MOD(W16,400)/100&amp;" túi ",VALUE(W16/100)&amp;"túi")</f>
        <v xml:space="preserve">3 thùng + 1 túi </v>
      </c>
      <c r="Y16" s="292"/>
      <c r="Z16" s="244">
        <v>652</v>
      </c>
      <c r="AA16" s="278" t="str">
        <f>IF(INT(Z16/400)&gt;=1,INT(Z16/400)&amp;" thùng + "&amp;MOD(Z16,400)&amp;" cái ",VALUE(Z16/100)&amp;"túi")</f>
        <v xml:space="preserve">1 thùng + 252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162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>
        <v>652</v>
      </c>
      <c r="AA17" s="277" t="str">
        <f>IF(INT(Z17/200)&gt;=1,INT(Z17/200)&amp;" thùng + "&amp;MOD(Z17,200)&amp;" cái ",VALUE(Z17/50)&amp;"túi")</f>
        <v xml:space="preserve">3 thùng + 52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500</v>
      </c>
      <c r="AI17" s="277" t="str">
        <f>IF(INT(AH17/200)&gt;=1,INT(AH17/200)&amp;" thùng + "&amp;MOD(AH17,200)/50&amp;" túi ",VALUE(AH17/50)&amp;"túi")</f>
        <v xml:space="preserve">2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19300</v>
      </c>
      <c r="G19" s="277" t="str">
        <f>IF(INT(F19/4000)&gt;=1,INT(F19/4000)&amp;" thùng + "&amp;MOD(F19,4000)/100&amp;" túi ",VALUE(F19/100)&amp;"túi")</f>
        <v xml:space="preserve">4 thùng + 33 túi </v>
      </c>
      <c r="H19" s="346"/>
      <c r="J19" s="234" t="s">
        <v>113</v>
      </c>
      <c r="K19" s="242">
        <v>18500</v>
      </c>
      <c r="L19" s="277" t="str">
        <f>IF(INT(K19/4000)&gt;=1,INT(K19/4000)&amp;" thùng + "&amp;MOD(K19,4000)/100&amp;" túi ",VALUE(K19/100)&amp;"túi")</f>
        <v xml:space="preserve">4 thùng + 25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10000</v>
      </c>
      <c r="X19" s="277" t="str">
        <f>IF(INT(W19/4000)&gt;=1,INT(W19/4000)&amp;" thùng + "&amp;MOD(W19,4000)&amp;" cái ",VALUE(W19/100)&amp;"túi")</f>
        <v xml:space="preserve">2 thùng + 2000 cái </v>
      </c>
      <c r="Y19" s="291"/>
      <c r="Z19" s="244">
        <v>8818</v>
      </c>
      <c r="AA19" s="278" t="str">
        <f>IF(INT(Z19/4000)&gt;=1,INT(Z19/4000)&amp;" thùng + "&amp;MOD(Z19,4000)/100&amp;" túi ",VALUE(Z19/100)&amp;"túi")</f>
        <v xml:space="preserve">2 thùng + 8.18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3500</v>
      </c>
      <c r="AI19" s="277" t="str">
        <f>IF(INT(AH19/4000)&gt;=1,INT(AH19/4000)&amp;" thùng + "&amp;MOD(AH19,4000)&amp;" cái ",VALUE(AH19/100)&amp;"túi")</f>
        <v>35túi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1600</v>
      </c>
      <c r="AS19" s="277" t="str">
        <f>IF(INT(AR19/4000)&gt;=1,INT(AR19/4000)&amp;" thùng + "&amp;MOD(AR19,4000)&amp;" cái ",VALUE(AR19/100)&amp;"túi")</f>
        <v>16túi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800</v>
      </c>
      <c r="L20" s="278" t="str">
        <f>IF(INT(K20/2000)&gt;=1,INT(K20/2000)&amp;" thùng + "&amp;MOD(K20,2000)/100&amp;" túi ",VALUE(K20/100)&amp;"túi")</f>
        <v>8túi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1000</v>
      </c>
      <c r="AI20" s="278" t="str">
        <f>IF(INT(AH20/2000)&gt;=1,INT(AH20/2000)&amp;" thùng + "&amp;MOD(AH20,2000)/100&amp;" túi ",VALUE(AH20/100)&amp;"túi")</f>
        <v>10túi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200</v>
      </c>
      <c r="L21" s="363" t="str">
        <f>IF(INT(K21/100)&gt;=1,INT(K21/100)&amp;" thùng + "&amp;MOD(K21,100)&amp;" cái ",VALUE(K21/100)&amp;"cái")</f>
        <v xml:space="preserve">2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352</v>
      </c>
      <c r="AA21" s="278" t="str">
        <f>IF(INT(Z21/400)&gt;=1,INT(Z21/400)&amp;" thùng + "&amp;MOD(Z21,400)/100&amp;" túi ",VALUE(Z21/100)&amp;"túi")</f>
        <v>3.52túi</v>
      </c>
      <c r="AB21" s="398"/>
      <c r="AC21" s="423"/>
      <c r="AD21" s="116" t="s">
        <v>56</v>
      </c>
      <c r="AE21" s="250"/>
      <c r="AF21" s="286"/>
      <c r="AG21" s="305"/>
      <c r="AH21" s="250">
        <v>1000</v>
      </c>
      <c r="AI21" s="277" t="str">
        <f>IF(INT(AH21/100)&gt;=1,INT(AH21/100)&amp;" thùng + "&amp;MOD(AH21,100)/100&amp;" túi ",VALUE(AH21/100)&amp;"túi")</f>
        <v xml:space="preserve">10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200</v>
      </c>
      <c r="L22" s="363" t="str">
        <f>IF(INT(K22/100)&gt;=1,INT(K22/100)&amp;" thùng + "&amp;MOD(K22,100)&amp;" cái ",VALUE(K22/100)&amp;"cái")</f>
        <v xml:space="preserve">2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1000</v>
      </c>
      <c r="AI22" s="278" t="str">
        <f>IF(INT(AH22/100)&gt;=1,INT(AH22/100)&amp;" thùng + "&amp;MOD(AH22,100)/100&amp;" túi ",VALUE(AH22/100)&amp;"túi")</f>
        <v xml:space="preserve">10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1400</v>
      </c>
      <c r="U23" s="277" t="str">
        <f>IF(INT(T23/600)&gt;=1,INT(T23/600)&amp;" thùng + "&amp;MOD(T23,600)/100&amp;" túi ",VALUE(T23/100)&amp;"túi")</f>
        <v xml:space="preserve">2 thùng + 2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399</v>
      </c>
      <c r="AA23" s="277" t="str">
        <f>IF(INT(Z23/600)&gt;=1,INT(Z23/600)&amp;" thùng + "&amp;MOD(Z23,600)/100&amp;" túi ",VALUE(Z23/100)&amp;"túi")</f>
        <v>3.99túi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600</v>
      </c>
      <c r="G24" s="277" t="str">
        <f>IF(INT(F24/1000)&gt;=1,INT(F24/1000)&amp;" thùng + "&amp;MOD(F24,1000)/100&amp;" túi ",VALUE(F24/100)&amp;"túi")</f>
        <v>6túi</v>
      </c>
      <c r="H24" s="347"/>
      <c r="J24" s="105" t="s">
        <v>108</v>
      </c>
      <c r="K24" s="244">
        <v>1400</v>
      </c>
      <c r="L24" s="277" t="str">
        <f>IF(INT(K24/600)&gt;=1,INT(K24/600)&amp;" thùng + "&amp;MOD(K24,600)/100&amp;" túi ",VALUE(K24/100)&amp;"túi")</f>
        <v xml:space="preserve">2 thùng + 2 túi </v>
      </c>
      <c r="M24" s="291"/>
      <c r="N24" s="71"/>
      <c r="O24" s="246"/>
      <c r="P24" s="123"/>
      <c r="Q24" s="130"/>
      <c r="S24" s="103" t="s">
        <v>60</v>
      </c>
      <c r="T24" s="244">
        <v>1400</v>
      </c>
      <c r="U24" s="277" t="str">
        <f>IF(INT(T24/500)&gt;=1,INT(T24/500)&amp;" thùng + "&amp;MOD(T24,500)/100&amp;" túi ",VALUE(T24/100)&amp;"túi")</f>
        <v xml:space="preserve">2 thùng + 4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399</v>
      </c>
      <c r="AA24" s="277" t="str">
        <f>IF(INT(Z24/500)&gt;=1,INT(Z24/500)&amp;" thùng + "&amp;MOD(Z24,500)/100&amp;" túi ",VALUE(Z24/100)&amp;"túi")</f>
        <v>3.99túi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600</v>
      </c>
      <c r="AF25" s="277" t="str">
        <f>IF(INT(AE25/500)&gt;=1,INT(AE25/500)&amp;" thùng + "&amp;MOD(AE25,500)/100&amp;" túi ",VALUE(AE25/100)&amp;"túi")</f>
        <v xml:space="preserve">1 thùng + 1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1920</v>
      </c>
      <c r="U26" s="278" t="str">
        <f>IF(INT(T26/4000)&gt;=1,INT(T26/4000)&amp;" thùng + "&amp;MOD(T26,4000)/100&amp;" túi ",VALUE(T26/100)&amp;"túi")</f>
        <v>19.2túi</v>
      </c>
      <c r="V26" s="291"/>
      <c r="W26" s="244">
        <v>3460</v>
      </c>
      <c r="X26" s="278" t="str">
        <f>IF(INT(W26/4000)&gt;=1,INT(W26/4000)&amp;" thùng + "&amp;MOD(W26,4000)/100&amp;" túi ",VALUE(W26/100)&amp;"túi")</f>
        <v>34.6túi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600</v>
      </c>
      <c r="P27" s="363" t="str">
        <f>IF(INT(O27/50)&gt;=1,INT(O27/50)&amp;" thùng + "&amp;MOD(O27,50)&amp;" cái ",VALUE(O27/50)&amp;"cái")</f>
        <v xml:space="preserve">12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704</v>
      </c>
      <c r="AA27" s="278" t="str">
        <f>IF(INT(Z27/400)&gt;=1,INT(Z27/400)&amp;" thùng + "&amp;MOD(Z27,400)/100&amp;" túi ",VALUE(Z27/100)&amp;"túi")</f>
        <v xml:space="preserve">1 thùng + 3.04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162</v>
      </c>
      <c r="AA28" s="278" t="str">
        <f>IF(INT(Z28/1000)&gt;=1,INT(Z28/1000)&amp;" thùng + "&amp;MOD(Z28,1000)/100&amp;" túi ",VALUE(Z28/100)&amp;"túi")</f>
        <v>1.62túi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800</v>
      </c>
      <c r="G29" s="277"/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/>
      <c r="P29" s="363" t="str">
        <f>IF(INT(O29/20)&gt;=1,INT(O29/20)&amp;" thùng + "&amp;MOD(O29,20)&amp;" cái ",VALUE(O29/20)&amp;"cái")</f>
        <v>0cái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352</v>
      </c>
      <c r="AA29" s="278" t="str">
        <f>IF(INT(Z29/200)&gt;=1,INT(Z29/200)&amp;" thùng + "&amp;MOD(Z29,200)/50&amp;" túi ",VALUE(Z29/50)&amp;"túi")</f>
        <v xml:space="preserve">1 thùng + 3.04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500</v>
      </c>
      <c r="C30" s="363" t="str">
        <f>IF(INT(B30/20)&gt;=1,INT(B30/20)&amp;" thùng + "&amp;MOD(B30,20)&amp;" cái ",VALUE(B30/20)&amp;"cái")</f>
        <v xml:space="preserve">25 thùng + 0 cái </v>
      </c>
      <c r="D30" s="291"/>
      <c r="E30" s="71"/>
      <c r="F30" s="326"/>
      <c r="G30" s="278"/>
      <c r="H30" s="350"/>
      <c r="J30" s="206" t="s">
        <v>53</v>
      </c>
      <c r="K30" s="326">
        <v>1600</v>
      </c>
      <c r="L30" s="363" t="str">
        <f>IF(INT(K30/100)&gt;=1,INT(K30/100)&amp;" thùng + "&amp;MOD(K30,100)&amp;" cái ",VALUE(K30/100)&amp;"cái")</f>
        <v xml:space="preserve">16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3000</v>
      </c>
      <c r="C32" s="277" t="str">
        <f>IF(INT(B32/100)&gt;=1,INT(B32/100)&amp;" thùng + "&amp;MOD(B32,100)/100&amp;" cái ",VALUE(B32/100)&amp;"cái")</f>
        <v xml:space="preserve">30 thùng + 0 cái </v>
      </c>
      <c r="D32" s="291"/>
      <c r="E32" s="71"/>
      <c r="F32" s="244"/>
      <c r="G32" s="280"/>
      <c r="H32" s="352"/>
      <c r="J32" s="206" t="s">
        <v>19</v>
      </c>
      <c r="K32" s="326">
        <v>1600</v>
      </c>
      <c r="L32" s="363" t="str">
        <f>IF(INT(K32/100)&gt;=1,INT(K32/100)&amp;" thùng + "&amp;MOD(K32,100)&amp;" cái ",VALUE(K32/100)&amp;"cái")</f>
        <v xml:space="preserve">16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200</v>
      </c>
      <c r="L33" s="363" t="str">
        <f>IF(INT(K33/20)&gt;=1,INT(K33/20)&amp;" thùng + "&amp;MOD(K33,20)&amp;" cái ",VALUE(K33/20)&amp;"cái")</f>
        <v xml:space="preserve">10 thùng + 0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500</v>
      </c>
      <c r="L34" s="277" t="str">
        <f>IF(INT(K34/1000)&gt;=1,INT(K34/1000)&amp;" thùng + "&amp;MOD(K34,1000)/100&amp;" túi ",VALUE(K34/100)&amp;"túi")</f>
        <v>5túi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700</v>
      </c>
      <c r="X34" s="278" t="str">
        <f>IF(INT(W34/1000)&gt;=1,INT(W34/1000)&amp;" thùng + "&amp;MOD(W34,1000)/100&amp;" túi ",VALUE(W34/100)&amp;"túi")</f>
        <v>7túi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704</v>
      </c>
      <c r="AA35" s="278" t="str">
        <f>IF(INT(Z35/4000)&gt;=1,INT(Z35/4000)&amp;" thùng + "&amp;MOD(Z35,4000)/100&amp;" túi ",VALUE(Z35/100)&amp;"túi")</f>
        <v>7.04túi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704</v>
      </c>
      <c r="AA36" s="277" t="str">
        <f>IF(INT(Z36/50)&gt;=1,INT(Z36/50)&amp;" thùng + "&amp;MOD(Z36,50)&amp;" cái ",VALUE(Z36)&amp;"cái")</f>
        <v xml:space="preserve">14 thùng + 4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800</v>
      </c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500</v>
      </c>
      <c r="AA37" s="277" t="str">
        <f>IF(INT(Z37/1000)&gt;=1,INT(Z37/1000)&amp;" thùng + "&amp;MOD(Z37,1000)/100&amp;" túi ",VALUE(Z37/100)&amp;"túi")</f>
        <v>5túi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1408</v>
      </c>
      <c r="AA38" s="278" t="str">
        <f>IF(INT(Z38/3000)&gt;=1,INT(Z38/3000)&amp;" thùng + "&amp;MOD(Z38,3000)/100&amp;" túi ",VALUE(Z38/100)&amp;"túi")</f>
        <v>14.08túi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352</v>
      </c>
      <c r="AA39" s="278" t="str">
        <f t="shared" ref="AA39" si="9">IF(INT(Z39/2000)&gt;=1,INT(Z39/2000)&amp;" thùng + "&amp;MOD(Z39,2000)/100&amp;" túi ",VALUE(Z39/100)&amp;"túi")</f>
        <v>3.52túi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>
        <v>25</v>
      </c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>
        <v>25</v>
      </c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600</v>
      </c>
      <c r="AF49" s="278" t="str">
        <f>IF(INT(AE49/200)&gt;=1,INT(AE49/200)&amp;" thùng + "&amp;MOD(AE49,200)/100&amp;" túi ",VALUE(AE49)&amp;"cái")</f>
        <v xml:space="preserve">3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116</v>
      </c>
      <c r="T50" s="316">
        <v>45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52</v>
      </c>
      <c r="T51" s="317">
        <v>15</v>
      </c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15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60</v>
      </c>
      <c r="T53" s="317">
        <v>120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800</v>
      </c>
      <c r="AP54" s="389" t="str">
        <f>IF(INT(AO54/3000)&gt;=1,INT(AO54/3000)&amp;" thùng + "&amp;MOD(AO54,3000)/100&amp;" túi ",VALUE(AO54/100)&amp;"túi")</f>
        <v>8túi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I35" sqref="I35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17"/>
      <c r="G1" s="516"/>
      <c r="H1" s="978" t="s">
        <v>268</v>
      </c>
      <c r="I1" s="979"/>
      <c r="J1" s="979"/>
      <c r="K1" s="979"/>
      <c r="L1" s="980"/>
    </row>
    <row r="2" spans="1:12" ht="26.25" customHeight="1">
      <c r="A2" s="4" t="s">
        <v>318</v>
      </c>
      <c r="B2" s="141"/>
      <c r="C2" s="5"/>
      <c r="D2" s="1033" t="s">
        <v>260</v>
      </c>
      <c r="E2" s="1033"/>
      <c r="F2" s="1034"/>
      <c r="G2" s="524"/>
      <c r="H2" s="440" t="str">
        <f>A2</f>
        <v>Ngày 6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525">
        <v>4</v>
      </c>
      <c r="J3" s="525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525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18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 t="s">
        <v>320</v>
      </c>
      <c r="C9" s="276" t="e">
        <f>IF(INT(B9/4000)&gt;=1,INT(B9/4000)&amp;" thùng + "&amp;MOD(B9,4000)/100&amp;" túi ",VALUE(B9/100)&amp;"túi")</f>
        <v>#VALUE!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 t="s">
        <v>319</v>
      </c>
      <c r="C19" s="278" t="e">
        <f>IF(INT(B19/6000)&gt;=1,INT(B19/6000)&amp;" thùng + "&amp;MOD(B19,6000)/100&amp;" túi ",VALUE(B19/100)&amp;"túi")</f>
        <v>#VALUE!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 t="s">
        <v>319</v>
      </c>
      <c r="C20" s="278" t="e">
        <f>IF(INT(B20/1200)&gt;=1,INT(B20/1200)&amp;" thùng + "&amp;MOD(B20,1200)/100&amp;" túi ",VALUE(B20/100)&amp;"túi")</f>
        <v>#VALUE!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 t="s">
        <v>319</v>
      </c>
      <c r="C25" s="278" t="e">
        <f>IF(INT(B25/500)&gt;=1,INT(B25/500)&amp;" thùng + "&amp;MOD(B25,500)/100&amp;" túi ",VALUE(B25/100)&amp;"túi")</f>
        <v>#VALUE!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 t="s">
        <v>319</v>
      </c>
      <c r="C26" s="278" t="e">
        <f>IF(INT(B26/500)&gt;=1,INT(B26/500)&amp;" thùng + "&amp;MOD(B26,500)/100&amp;" túi ",VALUE(B26/100)&amp;"túi")</f>
        <v>#VALUE!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 t="s">
        <v>319</v>
      </c>
      <c r="C27" s="278" t="e">
        <f>IF(INT(B27/200)&gt;=1,INT(B27/200)&amp;" thùng + "&amp;MOD(B27,200)/100&amp;" túi ",VALUE(B27/100)&amp;"cái")</f>
        <v>#VALUE!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 t="s">
        <v>321</v>
      </c>
      <c r="C31" s="278" t="e">
        <f>IF(INT(B31/1000)&gt;=1,INT(B31/1000)&amp;" thùng + "&amp;MOD(B31,1000)&amp;" cái",VALUE(B31)&amp;"cái")</f>
        <v>#VALUE!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>
        <v>100</v>
      </c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>
        <v>100</v>
      </c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8" activePane="bottomLeft" state="frozen"/>
      <selection activeCell="Z27" sqref="Z27"/>
      <selection pane="bottomLeft" activeCell="Z37" sqref="Z37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526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528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527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322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7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7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7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7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529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538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529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529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39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39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537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535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536"/>
      <c r="K7" s="74" t="s">
        <v>63</v>
      </c>
      <c r="L7" s="74" t="s">
        <v>217</v>
      </c>
      <c r="M7" s="370" t="s">
        <v>230</v>
      </c>
      <c r="N7" s="932"/>
      <c r="O7" s="531" t="s">
        <v>63</v>
      </c>
      <c r="P7" s="531" t="s">
        <v>217</v>
      </c>
      <c r="Q7" s="371" t="s">
        <v>230</v>
      </c>
      <c r="S7" s="939"/>
      <c r="T7" s="74" t="s">
        <v>259</v>
      </c>
      <c r="U7" s="74" t="s">
        <v>217</v>
      </c>
      <c r="V7" s="531" t="s">
        <v>230</v>
      </c>
      <c r="W7" s="74" t="s">
        <v>63</v>
      </c>
      <c r="X7" s="74" t="s">
        <v>217</v>
      </c>
      <c r="Y7" s="531" t="s">
        <v>230</v>
      </c>
      <c r="Z7" s="315" t="s">
        <v>63</v>
      </c>
      <c r="AA7" s="531" t="s">
        <v>217</v>
      </c>
      <c r="AB7" s="394" t="s">
        <v>230</v>
      </c>
      <c r="AC7" s="420"/>
      <c r="AD7" s="1032"/>
      <c r="AE7" s="383" t="s">
        <v>63</v>
      </c>
      <c r="AF7" s="531" t="s">
        <v>217</v>
      </c>
      <c r="AG7" s="531" t="s">
        <v>230</v>
      </c>
      <c r="AH7" s="372" t="s">
        <v>63</v>
      </c>
      <c r="AI7" s="531" t="s">
        <v>217</v>
      </c>
      <c r="AJ7" s="531" t="s">
        <v>230</v>
      </c>
      <c r="AK7" s="530" t="s">
        <v>63</v>
      </c>
      <c r="AL7" s="340" t="s">
        <v>217</v>
      </c>
      <c r="AM7" s="420"/>
      <c r="AN7" s="1021"/>
      <c r="AO7" s="372" t="s">
        <v>63</v>
      </c>
      <c r="AP7" s="531" t="s">
        <v>217</v>
      </c>
      <c r="AQ7" s="531" t="s">
        <v>230</v>
      </c>
      <c r="AR7" s="531" t="s">
        <v>63</v>
      </c>
      <c r="AS7" s="531" t="s">
        <v>217</v>
      </c>
      <c r="AT7" s="531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100</v>
      </c>
      <c r="L8" s="276" t="str">
        <f>IF(INT(K8/4000)&gt;=1,INT(K8/4000)&amp;" thùng + "&amp;MOD(K8,4000)/100&amp;" túi ",VALUE(K8/100)&amp;"túi")</f>
        <v>1túi</v>
      </c>
      <c r="M8" s="313"/>
      <c r="N8" s="71"/>
      <c r="O8" s="98"/>
      <c r="P8" s="71"/>
      <c r="Q8" s="102"/>
      <c r="S8" s="178" t="s">
        <v>114</v>
      </c>
      <c r="T8" s="257">
        <v>3420</v>
      </c>
      <c r="U8" s="277" t="str">
        <f>IF(INT(T8/400)&gt;=1,INT(T8/400)&amp;" thùng + "&amp;MOD(T8,400)/50&amp;" túi ",VALUE(T8/50)&amp;"cái")</f>
        <v xml:space="preserve">8 thùng + 4.4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100</v>
      </c>
      <c r="L9" s="277" t="str">
        <f>IF(INT(K9/500)&gt;=1,INT(K9/500)&amp;" thùng + "&amp;MOD(K9,500)/100&amp;" túi ",VALUE(K9/100)&amp;"túi")</f>
        <v>1túi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400</v>
      </c>
      <c r="AA9" s="278" t="str">
        <f>IF(INT(Z9/4000)&gt;=1,INT(Z9/4000)&amp;" thùng + "&amp;MOD(Z9,4000)/100&amp;" túi ",VALUE(Z9/100)&amp;"túi")</f>
        <v>4túi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868</v>
      </c>
      <c r="G10" s="277" t="str">
        <f>IF(INT(F10/500)&gt;=1,INT(F10/500)&amp;" thùng + "&amp;MOD(F10,500)/100&amp;" túi ",VALUE(F10/100)&amp;"túi")</f>
        <v xml:space="preserve">1 thùng + 3.68 túi </v>
      </c>
      <c r="H10" s="343"/>
      <c r="J10" s="103" t="s">
        <v>40</v>
      </c>
      <c r="K10" s="244">
        <v>800</v>
      </c>
      <c r="L10" s="278" t="str">
        <f>IF(INT(K10/500)&gt;=1,INT(K10/500)&amp;" thùng + "&amp;MOD(K10,500)/100&amp;" túi ",VALUE(K10/100)&amp;"túi")</f>
        <v xml:space="preserve">1 thùng + 3 túi </v>
      </c>
      <c r="M10" s="292"/>
      <c r="N10" s="71"/>
      <c r="O10" s="71"/>
      <c r="P10" s="71"/>
      <c r="Q10" s="102"/>
      <c r="S10" s="103" t="s">
        <v>273</v>
      </c>
      <c r="T10" s="326">
        <v>4778</v>
      </c>
      <c r="U10" s="277" t="str">
        <f>IF(INT(T10/3000)&gt;=1,INT(T10/3000)&amp;" thùng + "&amp;MOD(T10,3000)/100&amp;" túi ",VALUE(T10/100)&amp;"túi")</f>
        <v xml:space="preserve">1 thùng + 17.78 túi 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200</v>
      </c>
      <c r="AF10" s="278" t="str">
        <f>IF(INT(AE10/500)&gt;=1,INT(AE10/500)&amp;" thùng + "&amp;MOD(AE10,500)/100&amp;" túi ",VALUE(AE10/100)&amp;"túi")</f>
        <v>2túi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4936</v>
      </c>
      <c r="C11" s="277" t="str">
        <f>IF(INT(B11/2000)&gt;=1,INT(B11/2000)&amp;" thùng + "&amp;MOD(B11,2000)/100&amp;" túi ",VALUE(B11/100)&amp;"túi")</f>
        <v xml:space="preserve">2 thùng + 9.36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>
        <v>100</v>
      </c>
      <c r="C12" s="277" t="str">
        <f>IF(INT(B12/2000)&gt;=1,INT(B12/2000)&amp;" thùng + "&amp;MOD(B12,2000)/100&amp;" túi ",VALUE(B12/100)&amp;"túi")</f>
        <v>1túi</v>
      </c>
      <c r="D12" s="312"/>
      <c r="E12" s="71" t="s">
        <v>112</v>
      </c>
      <c r="F12" s="244">
        <v>2900</v>
      </c>
      <c r="G12" s="277" t="str">
        <f>IF(INT(F12/2000)&gt;=1,INT(F12/2000)&amp;" thùng + "&amp;MOD(F12,2000)/100&amp;" túi ",VALUE(F12/100)&amp;"túi")</f>
        <v xml:space="preserve">1 thùng + 9 túi </v>
      </c>
      <c r="H12" s="343"/>
      <c r="J12" s="105" t="s">
        <v>112</v>
      </c>
      <c r="K12" s="244">
        <v>3200</v>
      </c>
      <c r="L12" s="278" t="str">
        <f t="shared" si="0"/>
        <v xml:space="preserve">1 thùng + 12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600</v>
      </c>
      <c r="AP12" s="385" t="str">
        <f t="shared" ref="AP12" si="3">IF(INT(AO12/2000)&gt;=1,INT(AO12/2000)&amp;" thùng + "&amp;MOD(AO12,2000)/100&amp;" túi ",VALUE(AO12/100)&amp;"túi")</f>
        <v>6túi</v>
      </c>
      <c r="AQ12" s="386"/>
      <c r="AR12" s="244">
        <v>200</v>
      </c>
      <c r="AS12" s="385" t="str">
        <f t="shared" ref="AS12:AV12" si="4">IF(INT(AR12/2000)&gt;=1,INT(AR12/2000)&amp;" thùng + "&amp;MOD(AR12,2000)/100&amp;" túi ",VALUE(AR12/100)&amp;"túi")</f>
        <v>2túi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900</v>
      </c>
      <c r="X17" s="277" t="str">
        <f>IF(INT(W17/200)&gt;=1,INT(W17/200)&amp;" thùng + "&amp;MOD(W17,200)/50&amp;" túi ",VALUE(W17/50)&amp;"túi")</f>
        <v xml:space="preserve">4 thùng + 2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200</v>
      </c>
      <c r="AF18" s="278" t="str">
        <f>IF(INT(AE18/1200)&gt;=1,INT(AE18/1200)&amp;" thùng + "&amp;MOD(AE18,1200)/100&amp;" túi ",VALUE(AE18/100)&amp;"túi")</f>
        <v>2túi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8400</v>
      </c>
      <c r="C19" s="277" t="str">
        <f>IF(INT(B19/4000)&gt;=1,INT(B19/4000)&amp;" thùng + "&amp;MOD(B19,4000)/100&amp;" túi ",VALUE(B19/100)&amp;"túi")</f>
        <v xml:space="preserve">2 thùng + 4 túi </v>
      </c>
      <c r="D19" s="291"/>
      <c r="E19" s="81" t="s">
        <v>113</v>
      </c>
      <c r="F19" s="242">
        <v>20800</v>
      </c>
      <c r="G19" s="277" t="str">
        <f>IF(INT(F19/4000)&gt;=1,INT(F19/4000)&amp;" thùng + "&amp;MOD(F19,4000)/100&amp;" túi ",VALUE(F19/100)&amp;"túi")</f>
        <v xml:space="preserve">5 thùng + 8 túi </v>
      </c>
      <c r="H19" s="346"/>
      <c r="J19" s="234" t="s">
        <v>113</v>
      </c>
      <c r="K19" s="242">
        <v>20700</v>
      </c>
      <c r="L19" s="277" t="str">
        <f>IF(INT(K19/4000)&gt;=1,INT(K19/4000)&amp;" thùng + "&amp;MOD(K19,4000)/100&amp;" túi ",VALUE(K19/100)&amp;"túi")</f>
        <v xml:space="preserve">5 thùng + 7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10600</v>
      </c>
      <c r="X19" s="277" t="str">
        <f>IF(INT(W19/4000)&gt;=1,INT(W19/4000)&amp;" thùng + "&amp;MOD(W19,4000)&amp;" cái ",VALUE(W19/100)&amp;"túi")</f>
        <v xml:space="preserve">2 thùng + 2600 cái </v>
      </c>
      <c r="Y19" s="291"/>
      <c r="Z19" s="244">
        <v>8900</v>
      </c>
      <c r="AA19" s="278" t="str">
        <f>IF(INT(Z19/4000)&gt;=1,INT(Z19/4000)&amp;" thùng + "&amp;MOD(Z19,4000)/100&amp;" túi ",VALUE(Z19/100)&amp;"túi")</f>
        <v xml:space="preserve">2 thùng + 9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2200</v>
      </c>
      <c r="AS19" s="277" t="str">
        <f>IF(INT(AR19/4000)&gt;=1,INT(AR19/4000)&amp;" thùng + "&amp;MOD(AR19,4000)&amp;" cái ",VALUE(AR19/100)&amp;"túi")</f>
        <v>22túi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200</v>
      </c>
      <c r="L20" s="278" t="str">
        <f>IF(INT(K20/2000)&gt;=1,INT(K20/2000)&amp;" thùng + "&amp;MOD(K20,2000)/100&amp;" túi ",VALUE(K20/100)&amp;"túi")</f>
        <v>2túi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400</v>
      </c>
      <c r="AA21" s="278" t="str">
        <f>IF(INT(Z21/400)&gt;=1,INT(Z21/400)&amp;" thùng + "&amp;MOD(Z21,400)/100&amp;" túi ",VALUE(Z21/100)&amp;"túi")</f>
        <v xml:space="preserve">1 thùng + 0 túi 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4936</v>
      </c>
      <c r="C23" s="363" t="str">
        <f>IF(INT(B23/100)&gt;=1,INT(B23/100)&amp;" thùng + "&amp;MOD(B23,100)&amp;" cái ",VALUE(B23/100)&amp;"cái")</f>
        <v xml:space="preserve">49 thùng + 36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1600</v>
      </c>
      <c r="U23" s="277" t="str">
        <f>IF(INT(T23/600)&gt;=1,INT(T23/600)&amp;" thùng + "&amp;MOD(T23,600)/100&amp;" túi ",VALUE(T23/100)&amp;"túi")</f>
        <v xml:space="preserve">2 thùng + 4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600</v>
      </c>
      <c r="AS23" s="277" t="str">
        <f>IF(INT(AR23/400)&gt;=1,INT(AR23/400)&amp;" thùng + "&amp;MOD(AR23,400)&amp;" cái ",VALUE(AR23)&amp;"cái")</f>
        <v xml:space="preserve">1 thùng + 200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600</v>
      </c>
      <c r="G24" s="277" t="str">
        <f>IF(INT(F24/1000)&gt;=1,INT(F24/1000)&amp;" thùng + "&amp;MOD(F24,1000)/100&amp;" túi ",VALUE(F24/100)&amp;"túi")</f>
        <v>6túi</v>
      </c>
      <c r="H24" s="347"/>
      <c r="J24" s="105" t="s">
        <v>108</v>
      </c>
      <c r="K24" s="244">
        <v>1600</v>
      </c>
      <c r="L24" s="277" t="str">
        <f>IF(INT(K24/600)&gt;=1,INT(K24/600)&amp;" thùng + "&amp;MOD(K24,600)/100&amp;" túi ",VALUE(K24/100)&amp;"túi")</f>
        <v xml:space="preserve">2 thùng + 4 túi </v>
      </c>
      <c r="M24" s="291"/>
      <c r="N24" s="71"/>
      <c r="O24" s="246"/>
      <c r="P24" s="123"/>
      <c r="Q24" s="130"/>
      <c r="S24" s="103" t="s">
        <v>60</v>
      </c>
      <c r="T24" s="244">
        <v>1600</v>
      </c>
      <c r="U24" s="277" t="str">
        <f>IF(INT(T24/500)&gt;=1,INT(T24/500)&amp;" thùng + "&amp;MOD(T24,500)/100&amp;" túi ",VALUE(T24/100)&amp;"túi")</f>
        <v xml:space="preserve">3 thùng + 1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600</v>
      </c>
      <c r="AS24" s="277" t="str">
        <f>IF(INT(AR24/250)&gt;=1,INT(AR24/250)&amp;" thùng + "&amp;MOD(AR24,250)&amp;" cái ",VALUE(AR24)&amp;"cái")</f>
        <v xml:space="preserve">2 thùng + 100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868</v>
      </c>
      <c r="G25" s="277" t="str">
        <f>IF(INT(F25/3000)&gt;=1,INT(F25/3000)&amp;" thùng + "&amp;MOD(F25,3000)/100&amp;" túi ",VALUE(F25/100)&amp;"túi")</f>
        <v>8.68túi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/>
      <c r="AF25" s="277" t="str">
        <f>IF(INT(AE25/500)&gt;=1,INT(AE25/500)&amp;" thùng + "&amp;MOD(AE25,500)/100&amp;" túi ",VALUE(AE25/100)&amp;"túi")</f>
        <v>0túi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4330</v>
      </c>
      <c r="C26" s="277" t="str">
        <f>IF(INT(B26/4000)&gt;=1,INT(B26/4000)&amp;" thùng + "&amp;MOD(B26,4000)/100&amp;" túi ",VALUE(B26/100)&amp;"túi")</f>
        <v xml:space="preserve">1 thùng + 3.3 túi 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323</v>
      </c>
      <c r="U26" s="278" t="e">
        <f>IF(INT(T26/4000)&gt;=1,INT(T26/4000)&amp;" thùng + "&amp;MOD(T26,4000)/100&amp;" túi ",VALUE(T26/100)&amp;"túi")</f>
        <v>#VALUE!</v>
      </c>
      <c r="V26" s="291"/>
      <c r="W26" s="244">
        <v>3900</v>
      </c>
      <c r="X26" s="278" t="str">
        <f>IF(INT(W26/4000)&gt;=1,INT(W26/4000)&amp;" thùng + "&amp;MOD(W26,4000)/100&amp;" túi ",VALUE(W26/100)&amp;"túi")</f>
        <v>39túi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200</v>
      </c>
      <c r="AF26" s="288" t="str">
        <f>IF(INT(AE26/4000)&gt;=1,INT(AE26/4000)&amp;" thùng + "&amp;MOD(AE26,4000)/100&amp;" túi ",VALUE(AE26/100)&amp;"túi")</f>
        <v>2túi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800</v>
      </c>
      <c r="L27" s="363" t="str">
        <f>IF(INT(K27/50)&gt;=1,INT(K27/50)&amp;" thùng + "&amp;MOD(K27,50)&amp;" cái ",VALUE(K27/50)&amp;"cái")</f>
        <v xml:space="preserve">16 thùng + 0 cái </v>
      </c>
      <c r="M27" s="293"/>
      <c r="N27" s="81" t="s">
        <v>9</v>
      </c>
      <c r="O27" s="242">
        <v>1500</v>
      </c>
      <c r="P27" s="363" t="str">
        <f>IF(INT(O27/50)&gt;=1,INT(O27/50)&amp;" thùng + "&amp;MOD(O27,50)&amp;" cái ",VALUE(O27/50)&amp;"cái")</f>
        <v xml:space="preserve">30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800</v>
      </c>
      <c r="AA27" s="278" t="str">
        <f>IF(INT(Z27/400)&gt;=1,INT(Z27/400)&amp;" thùng + "&amp;MOD(Z27,400)/100&amp;" túi ",VALUE(Z27/100)&amp;"túi")</f>
        <v xml:space="preserve">2 thùng + 0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434</v>
      </c>
      <c r="P28" s="363" t="str">
        <f>IF(INT(O28/20)&gt;=1,INT(O28/20)&amp;" thùng + "&amp;MOD(O28,20)&amp;" cái ",VALUE(O28/20)&amp;"cái")</f>
        <v xml:space="preserve">21 thùng + 14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/>
      <c r="AA28" s="278" t="str">
        <f>IF(INT(Z28/1000)&gt;=1,INT(Z28/1000)&amp;" thùng + "&amp;MOD(Z28,1000)/100&amp;" túi ",VALUE(Z28/100)&amp;"túi")</f>
        <v>0túi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/>
      <c r="H29" s="349"/>
      <c r="J29" s="235" t="s">
        <v>89</v>
      </c>
      <c r="K29" s="327">
        <v>400</v>
      </c>
      <c r="L29" s="363" t="str">
        <f>IF(INT(K29/20)&gt;=1,INT(K29/20)&amp;" thùng + "&amp;MOD(K29,20)&amp;" cái ",VALUE(K29/20)&amp;"cái")</f>
        <v xml:space="preserve">20 thùng + 0 cái </v>
      </c>
      <c r="M29" s="293"/>
      <c r="N29" s="71" t="s">
        <v>89</v>
      </c>
      <c r="O29" s="326">
        <v>600</v>
      </c>
      <c r="P29" s="363" t="str">
        <f>IF(INT(O29/20)&gt;=1,INT(O29/20)&amp;" thùng + "&amp;MOD(O29,20)&amp;" cái ",VALUE(O29/20)&amp;"cái")</f>
        <v xml:space="preserve">30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400</v>
      </c>
      <c r="AA29" s="278" t="str">
        <f>IF(INT(Z29/200)&gt;=1,INT(Z29/200)&amp;" thùng + "&amp;MOD(Z29,200)/50&amp;" túi ",VALUE(Z29/50)&amp;"túi")</f>
        <v xml:space="preserve">2 thùng + 0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1736</v>
      </c>
      <c r="C31" s="363" t="str">
        <f>IF(INT(B31/100)&gt;=1,INT(B31/100)&amp;" thùng + "&amp;MOD(B31,100)&amp;" cái ",VALUE(B31/100)&amp;"cái")</f>
        <v xml:space="preserve">17 thùng + 36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50</v>
      </c>
      <c r="L33" s="363" t="str">
        <f>IF(INT(K33/20)&gt;=1,INT(K33/20)&amp;" thùng + "&amp;MOD(K33,20)&amp;" cái ",VALUE(K33/20)&amp;"cái")</f>
        <v xml:space="preserve">2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1800</v>
      </c>
      <c r="X33" s="278" t="str">
        <f>IF(INT(W33/300)&gt;=1,INT(W33/300)&amp;" thùng + "&amp;MOD(W33,300)/100&amp;" túi ",VALUE(W33/100)&amp;"túi")</f>
        <v xml:space="preserve">6 thùng + 0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800</v>
      </c>
      <c r="L34" s="277" t="str">
        <f>IF(INT(K34/1000)&gt;=1,INT(K34/1000)&amp;" thùng + "&amp;MOD(K34,1000)/100&amp;" túi ",VALUE(K34/100)&amp;"túi")</f>
        <v>8túi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/>
      <c r="X34" s="278" t="str">
        <f>IF(INT(W34/1000)&gt;=1,INT(W34/1000)&amp;" thùng + "&amp;MOD(W34,1000)/100&amp;" túi ",VALUE(W34/100)&amp;"túi")</f>
        <v>0túi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800</v>
      </c>
      <c r="AA35" s="278" t="str">
        <f>IF(INT(Z35/4000)&gt;=1,INT(Z35/4000)&amp;" thùng + "&amp;MOD(Z35,4000)/100&amp;" túi ",VALUE(Z35/100)&amp;"túi")</f>
        <v>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800</v>
      </c>
      <c r="AA36" s="277" t="str">
        <f>IF(INT(Z36/50)&gt;=1,INT(Z36/50)&amp;" thùng + "&amp;MOD(Z36,50)&amp;" cái ",VALUE(Z36)&amp;"cái")</f>
        <v xml:space="preserve">16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400</v>
      </c>
      <c r="AA37" s="277" t="str">
        <f>IF(INT(Z37/1000)&gt;=1,INT(Z37/1000)&amp;" thùng + "&amp;MOD(Z37,1000)/100&amp;" túi ",VALUE(Z37/100)&amp;"túi")</f>
        <v>4túi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1600</v>
      </c>
      <c r="AA38" s="278" t="str">
        <f>IF(INT(Z38/3000)&gt;=1,INT(Z38/3000)&amp;" thùng + "&amp;MOD(Z38,3000)/100&amp;" túi ",VALUE(Z38/100)&amp;"túi")</f>
        <v>16túi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400</v>
      </c>
      <c r="AA39" s="278" t="str">
        <f t="shared" ref="AA39" si="9">IF(INT(Z39/2000)&gt;=1,INT(Z39/2000)&amp;" thùng + "&amp;MOD(Z39,2000)/100&amp;" túi ",VALUE(Z39/100)&amp;"túi")</f>
        <v>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>
        <v>100</v>
      </c>
      <c r="AS46" s="278" t="str">
        <f>IF(INT(AR46/600)&gt;=1,INT(AR46/600)&amp;" thùng + "&amp;MOD(AR46,600)/100&amp;" túi ",VALUE(AR46/100)&amp;"túi")</f>
        <v>1túi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900</v>
      </c>
      <c r="X47" s="278" t="str">
        <f>IF(INT(W47/50)&gt;=1,INT(W47/50)&amp;" thùng + "&amp;MOD(W47,50)/10&amp;" túi ",VALUE(W47/10)&amp;"túi")</f>
        <v xml:space="preserve">18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/>
      <c r="AF49" s="278" t="str">
        <f>IF(INT(AE49/200)&gt;=1,INT(AE49/200)&amp;" thùng + "&amp;MOD(AE49,200)/100&amp;" túi ",VALUE(AE49)&amp;"cái")</f>
        <v>0cái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116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52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60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400</v>
      </c>
      <c r="AP54" s="389" t="str">
        <f>IF(INT(AO54/3000)&gt;=1,INT(AO54/3000)&amp;" thùng + "&amp;MOD(AO54,3000)/100&amp;" túi ",VALUE(AO54/100)&amp;"túi")</f>
        <v>4túi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8" sqref="B18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33"/>
      <c r="G1" s="532"/>
      <c r="H1" s="978" t="s">
        <v>268</v>
      </c>
      <c r="I1" s="979"/>
      <c r="J1" s="979"/>
      <c r="K1" s="979"/>
      <c r="L1" s="980"/>
    </row>
    <row r="2" spans="1:12" ht="26.25" customHeight="1">
      <c r="A2" s="4" t="s">
        <v>322</v>
      </c>
      <c r="B2" s="141"/>
      <c r="C2" s="5"/>
      <c r="D2" s="1033" t="s">
        <v>260</v>
      </c>
      <c r="E2" s="1033"/>
      <c r="F2" s="1034"/>
      <c r="G2" s="540"/>
      <c r="H2" s="440" t="str">
        <f>A2</f>
        <v>Ngày 7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541">
        <v>4</v>
      </c>
      <c r="J3" s="541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541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34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C132"/>
  <sheetViews>
    <sheetView topLeftCell="N1" zoomScale="80" zoomScaleNormal="80" workbookViewId="0">
      <pane ySplit="7" topLeftCell="A8" activePane="bottomLeft" state="frozen"/>
      <selection activeCell="Z27" sqref="Z27"/>
      <selection pane="bottomLeft" activeCell="AE49" sqref="AE4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544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546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545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332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9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9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9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9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547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552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547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547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51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51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554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553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555"/>
      <c r="K7" s="74" t="s">
        <v>63</v>
      </c>
      <c r="L7" s="74" t="s">
        <v>217</v>
      </c>
      <c r="M7" s="370" t="s">
        <v>230</v>
      </c>
      <c r="N7" s="932"/>
      <c r="O7" s="543" t="s">
        <v>63</v>
      </c>
      <c r="P7" s="543" t="s">
        <v>217</v>
      </c>
      <c r="Q7" s="371" t="s">
        <v>230</v>
      </c>
      <c r="S7" s="939"/>
      <c r="T7" s="74" t="s">
        <v>259</v>
      </c>
      <c r="U7" s="74" t="s">
        <v>217</v>
      </c>
      <c r="V7" s="543" t="s">
        <v>230</v>
      </c>
      <c r="W7" s="74" t="s">
        <v>63</v>
      </c>
      <c r="X7" s="74" t="s">
        <v>217</v>
      </c>
      <c r="Y7" s="543" t="s">
        <v>230</v>
      </c>
      <c r="Z7" s="315" t="s">
        <v>63</v>
      </c>
      <c r="AA7" s="543" t="s">
        <v>217</v>
      </c>
      <c r="AB7" s="394" t="s">
        <v>230</v>
      </c>
      <c r="AC7" s="420"/>
      <c r="AD7" s="1032"/>
      <c r="AE7" s="383" t="s">
        <v>63</v>
      </c>
      <c r="AF7" s="543" t="s">
        <v>217</v>
      </c>
      <c r="AG7" s="543" t="s">
        <v>230</v>
      </c>
      <c r="AH7" s="372" t="s">
        <v>63</v>
      </c>
      <c r="AI7" s="543" t="s">
        <v>217</v>
      </c>
      <c r="AJ7" s="543" t="s">
        <v>230</v>
      </c>
      <c r="AK7" s="542" t="s">
        <v>63</v>
      </c>
      <c r="AL7" s="340" t="s">
        <v>217</v>
      </c>
      <c r="AM7" s="420"/>
      <c r="AN7" s="1021"/>
      <c r="AO7" s="372" t="s">
        <v>63</v>
      </c>
      <c r="AP7" s="543" t="s">
        <v>217</v>
      </c>
      <c r="AQ7" s="543" t="s">
        <v>230</v>
      </c>
      <c r="AR7" s="543" t="s">
        <v>63</v>
      </c>
      <c r="AS7" s="543" t="s">
        <v>217</v>
      </c>
      <c r="AT7" s="543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1100</v>
      </c>
      <c r="X9" s="278" t="str">
        <f>IF(INT(W9/4000)&gt;=1,INT(W9/4000)&amp;" thùng + "&amp;MOD(W9,4000)/100&amp;" túi ",VALUE(W9/100)&amp;"túi")</f>
        <v>11túi</v>
      </c>
      <c r="Y9" s="313"/>
      <c r="Z9" s="245">
        <v>246</v>
      </c>
      <c r="AA9" s="278" t="str">
        <f>IF(INT(Z9/4000)&gt;=1,INT(Z9/4000)&amp;" thùng + "&amp;MOD(Z9,4000)/100&amp;" túi ",VALUE(Z9/100)&amp;"túi")</f>
        <v>2.46túi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 t="s">
        <v>325</v>
      </c>
      <c r="L10" s="278" t="e">
        <f>IF(INT(K10/500)&gt;=1,INT(K10/500)&amp;" thùng + "&amp;MOD(K10,500)/100&amp;" túi ",VALUE(K10/100)&amp;"túi")</f>
        <v>#VALUE!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200</v>
      </c>
      <c r="AF10" s="278" t="str">
        <f>IF(INT(AE10/500)&gt;=1,INT(AE10/500)&amp;" thùng + "&amp;MOD(AE10,500)/100&amp;" túi ",VALUE(AE10/100)&amp;"túi")</f>
        <v>2túi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 t="s">
        <v>326</v>
      </c>
      <c r="L11" s="277" t="e">
        <f t="shared" ref="L11:L12" si="0">IF(INT(K11/2000)&gt;=1,INT(K11/2000)&amp;" thùng + "&amp;MOD(K11,2000)/100&amp;" túi ",VALUE(K11/100)&amp;"túi")</f>
        <v>#VALUE!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>
        <v>36</v>
      </c>
      <c r="C12" s="277" t="str">
        <f>IF(INT(B12/2000)&gt;=1,INT(B12/2000)&amp;" thùng + "&amp;MOD(B12,2000)/100&amp;" túi ",VALUE(B12/100)&amp;"túi")</f>
        <v>0.36túi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3200</v>
      </c>
      <c r="L12" s="278" t="str">
        <f t="shared" si="0"/>
        <v xml:space="preserve">1 thùng + 12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2600</v>
      </c>
      <c r="X12" s="278" t="str">
        <f t="shared" ref="X12" si="1">IF(INT(W12/2000)&gt;=1,INT(W12/2000)&amp;" thùng + "&amp;MOD(W12,2000)/100&amp;" túi ",VALUE(W12/100)&amp;"túi")</f>
        <v xml:space="preserve">1 thùng + 6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1000</v>
      </c>
      <c r="AP12" s="385" t="str">
        <f t="shared" ref="AP12" si="3">IF(INT(AO12/2000)&gt;=1,INT(AO12/2000)&amp;" thùng + "&amp;MOD(AO12,2000)/100&amp;" túi ",VALUE(AO12/100)&amp;"túi")</f>
        <v>10túi</v>
      </c>
      <c r="AQ12" s="386"/>
      <c r="AR12" s="244">
        <v>200</v>
      </c>
      <c r="AS12" s="385" t="str">
        <f t="shared" ref="AS12:AV12" si="4">IF(INT(AR12/2000)&gt;=1,INT(AR12/2000)&amp;" thùng + "&amp;MOD(AR12,2000)/100&amp;" túi ",VALUE(AR12/100)&amp;"túi")</f>
        <v>2túi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968</v>
      </c>
      <c r="C13" s="277" t="str">
        <f>IF(INT(B13/600)&gt;=1,INT(B13/600)&amp;" thùng + "&amp;MOD(B13,600)/100&amp;" túi ",VALUE(B13/100)&amp;"túi")</f>
        <v xml:space="preserve">1 thùng + 3.68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 t="s">
        <v>327</v>
      </c>
      <c r="L13" s="278" t="e">
        <f>IF(INT(K13/600)&gt;=1,INT(K13/600)&amp;" thùng + "&amp;MOD(K13,600)/100&amp;" túi ",VALUE(K13/100)&amp;"túi")</f>
        <v>#VALUE!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968</v>
      </c>
      <c r="C14" s="277" t="str">
        <f>IF(INT(B14/400)&gt;=1,INT(B14/400)&amp;" thùng + "&amp;MOD(B14,400)/100&amp;" túi ",VALUE(B14/100)&amp;"túi")</f>
        <v xml:space="preserve">2 thùng + 1.68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 t="s">
        <v>327</v>
      </c>
      <c r="L14" s="278" t="e">
        <f>IF(INT(K14/400)&gt;=1,INT(K14/400)&amp;" thùng + "&amp;MOD(K14,400)/100&amp;" túi ",VALUE(K14/100)&amp;"túi")</f>
        <v>#VALUE!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968</v>
      </c>
      <c r="C15" s="277" t="str">
        <f>IF(INT(B15/600)&gt;=1,INT(B15/600)&amp;" thùng + "&amp;MOD(B15,600)/100&amp;" túi ",VALUE(B15/100)&amp;"túi")</f>
        <v xml:space="preserve">1 thùng + 3.68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 t="s">
        <v>328</v>
      </c>
      <c r="L15" s="278" t="e">
        <f>IF(INT(K15/600)&gt;=1,INT(K15/600)&amp;" thùng + "&amp;MOD(K15,600)/100&amp;" túi ",VALUE(K15/100)&amp;"túi")</f>
        <v>#VALUE!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968</v>
      </c>
      <c r="C16" s="277" t="str">
        <f>IF(INT(B16/400)&gt;=1,INT(B16/400)&amp;" thùng + "&amp;MOD(B16,400)/100&amp;" túi ",VALUE(B16/100)&amp;"túi")</f>
        <v xml:space="preserve">2 thùng + 1.68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 t="s">
        <v>328</v>
      </c>
      <c r="L16" s="278" t="e">
        <f>IF(INT(K16/400)&gt;=1,INT(K16/400)&amp;" thùng + "&amp;MOD(K16,400)/100&amp;" túi ",VALUE(K16/100)&amp;"túi")</f>
        <v>#VALUE!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968</v>
      </c>
      <c r="C17" s="277" t="str">
        <f>IF(INT(B17/200)&gt;=1,INT(B17/200)&amp;" thùng + "&amp;MOD(B17,200)/50&amp;" túi ",VALUE(B17/50)&amp;"túi")</f>
        <v xml:space="preserve">4 thùng + 3.36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 t="s">
        <v>328</v>
      </c>
      <c r="L17" s="277" t="e">
        <f>IF(INT(K17/200)&gt;=1,INT(K17/200)&amp;" thùng + "&amp;MOD(K17,200)/50&amp;" túi ",VALUE(K17/50)&amp;"túi")</f>
        <v>#VALUE!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968</v>
      </c>
      <c r="C18" s="277" t="str">
        <f>IF(INT(B18/1200)&gt;=1,INT(B18/1200)&amp;" thùng + "&amp;MOD(B18,1200)/100&amp;" túi ",VALUE(B18/100)&amp;"túi")</f>
        <v>9.68túi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 t="s">
        <v>328</v>
      </c>
      <c r="L18" s="278" t="e">
        <f>IF(INT(K18/1200)&gt;=1,INT(K18/1200)&amp;" thùng + "&amp;MOD(K18,1200)/100&amp;" túi ",VALUE(K18/100)&amp;"túi")</f>
        <v>#VALUE!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700</v>
      </c>
      <c r="X18" s="278" t="str">
        <f>IF(INT(W18/200)&gt;=1,INT(W18/200)&amp;" thùng + "&amp;MOD(W18,200)/50&amp;" túi ",VALUE(W18/50)&amp;"túi")</f>
        <v xml:space="preserve">3 thùng + 2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200</v>
      </c>
      <c r="AF18" s="278" t="str">
        <f>IF(INT(AE18/1200)&gt;=1,INT(AE18/1200)&amp;" thùng + "&amp;MOD(AE18,1200)/100&amp;" túi ",VALUE(AE18/100)&amp;"túi")</f>
        <v>2túi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9160</v>
      </c>
      <c r="C19" s="277" t="str">
        <f>IF(INT(B19/4000)&gt;=1,INT(B19/4000)&amp;" thùng + "&amp;MOD(B19,4000)/100&amp;" túi ",VALUE(B19/100)&amp;"túi")</f>
        <v xml:space="preserve">2 thùng + 11.6 túi </v>
      </c>
      <c r="D19" s="291"/>
      <c r="E19" s="81" t="s">
        <v>113</v>
      </c>
      <c r="F19" s="242">
        <v>19000</v>
      </c>
      <c r="G19" s="277" t="str">
        <f>IF(INT(F19/4000)&gt;=1,INT(F19/4000)&amp;" thùng + "&amp;MOD(F19,4000)/100&amp;" túi ",VALUE(F19/100)&amp;"túi")</f>
        <v xml:space="preserve">4 thùng + 30 túi </v>
      </c>
      <c r="H19" s="346"/>
      <c r="J19" s="234" t="s">
        <v>113</v>
      </c>
      <c r="K19" s="242" t="s">
        <v>329</v>
      </c>
      <c r="L19" s="277" t="e">
        <f>IF(INT(K19/4000)&gt;=1,INT(K19/4000)&amp;" thùng + "&amp;MOD(K19,4000)/100&amp;" túi ",VALUE(K19/100)&amp;"túi")</f>
        <v>#VALUE!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10300</v>
      </c>
      <c r="X19" s="277" t="str">
        <f>IF(INT(W19/4000)&gt;=1,INT(W19/4000)&amp;" thùng + "&amp;MOD(W19,4000)&amp;" cái ",VALUE(W19/100)&amp;"túi")</f>
        <v xml:space="preserve">2 thùng + 2300 cái </v>
      </c>
      <c r="Y19" s="291"/>
      <c r="Z19" s="244">
        <v>8700</v>
      </c>
      <c r="AA19" s="278" t="str">
        <f>IF(INT(Z19/4000)&gt;=1,INT(Z19/4000)&amp;" thùng + "&amp;MOD(Z19,4000)/100&amp;" túi ",VALUE(Z19/100)&amp;"túi")</f>
        <v xml:space="preserve">2 thùng + 7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2100</v>
      </c>
      <c r="AS19" s="277" t="str">
        <f>IF(INT(AR19/4000)&gt;=1,INT(AR19/4000)&amp;" thùng + "&amp;MOD(AR19,4000)&amp;" cái ",VALUE(AR19/100)&amp;"túi")</f>
        <v>21túi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800</v>
      </c>
      <c r="L21" s="363" t="str">
        <f>IF(INT(K21/100)&gt;=1,INT(K21/100)&amp;" thùng + "&amp;MOD(K21,100)&amp;" cái ",VALUE(K21/100)&amp;"cái")</f>
        <v xml:space="preserve">8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400</v>
      </c>
      <c r="AA21" s="278" t="str">
        <f>IF(INT(Z21/400)&gt;=1,INT(Z21/400)&amp;" thùng + "&amp;MOD(Z21,400)/100&amp;" túi ",VALUE(Z21/100)&amp;"túi")</f>
        <v xml:space="preserve">1 thùng + 0 túi 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800</v>
      </c>
      <c r="L22" s="363" t="str">
        <f>IF(INT(K22/100)&gt;=1,INT(K22/100)&amp;" thùng + "&amp;MOD(K22,100)&amp;" cái ",VALUE(K22/100)&amp;"cái")</f>
        <v xml:space="preserve">8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1600</v>
      </c>
      <c r="U23" s="277" t="str">
        <f>IF(INT(T23/600)&gt;=1,INT(T23/600)&amp;" thùng + "&amp;MOD(T23,600)/100&amp;" túi ",VALUE(T23/100)&amp;"túi")</f>
        <v xml:space="preserve">2 thùng + 4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200</v>
      </c>
      <c r="AS23" s="277" t="str">
        <f>IF(INT(AR23/400)&gt;=1,INT(AR23/400)&amp;" thùng + "&amp;MOD(AR23,400)&amp;" cái ",VALUE(AR23)&amp;"cái")</f>
        <v>200cái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800</v>
      </c>
      <c r="G24" s="277" t="str">
        <f>IF(INT(F24/1000)&gt;=1,INT(F24/1000)&amp;" thùng + "&amp;MOD(F24,1000)/100&amp;" túi ",VALUE(F24/100)&amp;"túi")</f>
        <v>8túi</v>
      </c>
      <c r="H24" s="347"/>
      <c r="J24" s="105" t="s">
        <v>108</v>
      </c>
      <c r="K24" s="244">
        <v>1600</v>
      </c>
      <c r="L24" s="277" t="str">
        <f>IF(INT(K24/600)&gt;=1,INT(K24/600)&amp;" thùng + "&amp;MOD(K24,600)/100&amp;" túi ",VALUE(K24/100)&amp;"túi")</f>
        <v xml:space="preserve">2 thùng + 4 túi </v>
      </c>
      <c r="M24" s="291"/>
      <c r="N24" s="71"/>
      <c r="O24" s="246"/>
      <c r="P24" s="123"/>
      <c r="Q24" s="130"/>
      <c r="S24" s="103" t="s">
        <v>60</v>
      </c>
      <c r="T24" s="244">
        <v>1600</v>
      </c>
      <c r="U24" s="277" t="str">
        <f>IF(INT(T24/500)&gt;=1,INT(T24/500)&amp;" thùng + "&amp;MOD(T24,500)/100&amp;" túi ",VALUE(T24/100)&amp;"túi")</f>
        <v xml:space="preserve">3 thùng + 1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200</v>
      </c>
      <c r="AS24" s="277" t="str">
        <f>IF(INT(AR24/250)&gt;=1,INT(AR24/250)&amp;" thùng + "&amp;MOD(AR24,250)&amp;" cái ",VALUE(AR24)&amp;"cái")</f>
        <v>200cái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/>
      <c r="AF25" s="277" t="str">
        <f>IF(INT(AE25/500)&gt;=1,INT(AE25/500)&amp;" thùng + "&amp;MOD(AE25,500)/100&amp;" túi ",VALUE(AE25/100)&amp;"túi")</f>
        <v>0túi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324</v>
      </c>
      <c r="U26" s="278" t="e">
        <f>IF(INT(T26/4000)&gt;=1,INT(T26/4000)&amp;" thùng + "&amp;MOD(T26,4000)/100&amp;" túi ",VALUE(T26/100)&amp;"túi")</f>
        <v>#VALUE!</v>
      </c>
      <c r="V26" s="291"/>
      <c r="W26" s="244">
        <v>1730</v>
      </c>
      <c r="X26" s="278" t="str">
        <f>IF(INT(W26/4000)&gt;=1,INT(W26/4000)&amp;" thùng + "&amp;MOD(W26,4000)/100&amp;" túi ",VALUE(W26/100)&amp;"túi")</f>
        <v>17.3túi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200</v>
      </c>
      <c r="AF26" s="288" t="str">
        <f>IF(INT(AE26/4000)&gt;=1,INT(AE26/4000)&amp;" thùng + "&amp;MOD(AE26,4000)/100&amp;" túi ",VALUE(AE26/100)&amp;"túi")</f>
        <v>2túi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968</v>
      </c>
      <c r="C27" s="363" t="str">
        <f>IF(INT(B27/50)&gt;=1,INT(B27/50)&amp;" thùng + "&amp;MOD(B27,50)&amp;" cái ",VALUE(B27/50)&amp;"cái")</f>
        <v xml:space="preserve">19 thùng + 18 cái </v>
      </c>
      <c r="D27" s="291"/>
      <c r="E27" s="119"/>
      <c r="F27" s="242"/>
      <c r="G27" s="81"/>
      <c r="H27" s="346"/>
      <c r="J27" s="235" t="s">
        <v>9</v>
      </c>
      <c r="K27" s="327" t="s">
        <v>325</v>
      </c>
      <c r="L27" s="363" t="e">
        <f>IF(INT(K27/50)&gt;=1,INT(K27/50)&amp;" thùng + "&amp;MOD(K27,50)&amp;" cái ",VALUE(K27/50)&amp;"cái")</f>
        <v>#VALUE!</v>
      </c>
      <c r="M27" s="293"/>
      <c r="N27" s="81" t="s">
        <v>9</v>
      </c>
      <c r="O27" s="242">
        <v>800</v>
      </c>
      <c r="P27" s="363" t="str">
        <f>IF(INT(O27/50)&gt;=1,INT(O27/50)&amp;" thùng + "&amp;MOD(O27,50)&amp;" cái ",VALUE(O27/50)&amp;"cái")</f>
        <v xml:space="preserve">16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800</v>
      </c>
      <c r="AA27" s="278" t="str">
        <f>IF(INT(Z27/400)&gt;=1,INT(Z27/400)&amp;" thùng + "&amp;MOD(Z27,400)/100&amp;" túi ",VALUE(Z27/100)&amp;"túi")</f>
        <v xml:space="preserve">2 thùng + 0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/>
      <c r="AA28" s="278" t="str">
        <f>IF(INT(Z28/1000)&gt;=1,INT(Z28/1000)&amp;" thùng + "&amp;MOD(Z28,1000)/100&amp;" túi ",VALUE(Z28/100)&amp;"túi")</f>
        <v>0túi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/>
      <c r="H29" s="349"/>
      <c r="J29" s="235" t="s">
        <v>89</v>
      </c>
      <c r="K29" s="327" t="s">
        <v>330</v>
      </c>
      <c r="L29" s="363" t="e">
        <f>IF(INT(K29/20)&gt;=1,INT(K29/20)&amp;" thùng + "&amp;MOD(K29,20)&amp;" cái ",VALUE(K29/20)&amp;"cái")</f>
        <v>#VALUE!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400</v>
      </c>
      <c r="AA29" s="278" t="str">
        <f>IF(INT(Z29/200)&gt;=1,INT(Z29/200)&amp;" thùng + "&amp;MOD(Z29,200)/50&amp;" túi ",VALUE(Z29/50)&amp;"túi")</f>
        <v xml:space="preserve">2 thùng + 0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500</v>
      </c>
      <c r="C30" s="363" t="str">
        <f>IF(INT(B30/20)&gt;=1,INT(B30/20)&amp;" thùng + "&amp;MOD(B30,20)&amp;" cái ",VALUE(B30/20)&amp;"cái")</f>
        <v xml:space="preserve">25 thùng + 0 cái </v>
      </c>
      <c r="D30" s="291"/>
      <c r="E30" s="71"/>
      <c r="F30" s="326"/>
      <c r="G30" s="278"/>
      <c r="H30" s="350"/>
      <c r="J30" s="206" t="s">
        <v>53</v>
      </c>
      <c r="K30" s="326" t="s">
        <v>331</v>
      </c>
      <c r="L30" s="363" t="e">
        <f>IF(INT(K30/100)&gt;=1,INT(K30/100)&amp;" thùng + "&amp;MOD(K30,100)&amp;" cái ",VALUE(K30/100)&amp;"cái")</f>
        <v>#VALUE!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3600</v>
      </c>
      <c r="C32" s="277" t="str">
        <f>IF(INT(B32/100)&gt;=1,INT(B32/100)&amp;" thùng + "&amp;MOD(B32,100)/100&amp;" cái ",VALUE(B32/100)&amp;"cái")</f>
        <v xml:space="preserve">36 thùng + 0 cái </v>
      </c>
      <c r="D32" s="291"/>
      <c r="E32" s="71"/>
      <c r="F32" s="244"/>
      <c r="G32" s="280"/>
      <c r="H32" s="352"/>
      <c r="J32" s="206" t="s">
        <v>19</v>
      </c>
      <c r="K32" s="326" t="s">
        <v>331</v>
      </c>
      <c r="L32" s="363" t="e">
        <f>IF(INT(K32/100)&gt;=1,INT(K32/100)&amp;" thùng + "&amp;MOD(K32,100)&amp;" cái ",VALUE(K32/100)&amp;"cái")</f>
        <v>#VALUE!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/>
      <c r="AS33" s="278" t="str">
        <f>IF(INT(AR33/4000)&gt;=1,INT(AR33/4000)&amp;" thùng + "&amp;MOD(AR33,4000)/100&amp;" túi ",VALUE(AR33/100)&amp;"túi")</f>
        <v>0túi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 t="s">
        <v>325</v>
      </c>
      <c r="L34" s="277" t="e">
        <f>IF(INT(K34/1000)&gt;=1,INT(K34/1000)&amp;" thùng + "&amp;MOD(K34,1000)/100&amp;" túi ",VALUE(K34/100)&amp;"túi")</f>
        <v>#VALUE!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800</v>
      </c>
      <c r="X34" s="278" t="str">
        <f>IF(INT(W34/1000)&gt;=1,INT(W34/1000)&amp;" thùng + "&amp;MOD(W34,1000)/100&amp;" túi ",VALUE(W34/100)&amp;"túi")</f>
        <v>8túi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800</v>
      </c>
      <c r="AA35" s="278" t="str">
        <f>IF(INT(Z35/4000)&gt;=1,INT(Z35/4000)&amp;" thùng + "&amp;MOD(Z35,4000)/100&amp;" túi ",VALUE(Z35/100)&amp;"túi")</f>
        <v>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800</v>
      </c>
      <c r="AA36" s="277" t="str">
        <f>IF(INT(Z36/50)&gt;=1,INT(Z36/50)&amp;" thùng + "&amp;MOD(Z36,50)&amp;" cái ",VALUE(Z36)&amp;"cái")</f>
        <v xml:space="preserve">16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246</v>
      </c>
      <c r="AA37" s="277" t="str">
        <f>IF(INT(Z37/1000)&gt;=1,INT(Z37/1000)&amp;" thùng + "&amp;MOD(Z37,1000)/100&amp;" túi ",VALUE(Z37/100)&amp;"túi")</f>
        <v>2.46túi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1600</v>
      </c>
      <c r="AA38" s="278" t="str">
        <f>IF(INT(Z38/3000)&gt;=1,INT(Z38/3000)&amp;" thùng + "&amp;MOD(Z38,3000)/100&amp;" túi ",VALUE(Z38/100)&amp;"túi")</f>
        <v>16túi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400</v>
      </c>
      <c r="AA39" s="278" t="str">
        <f t="shared" ref="AA39" si="9">IF(INT(Z39/2000)&gt;=1,INT(Z39/2000)&amp;" thùng + "&amp;MOD(Z39,2000)/100&amp;" túi ",VALUE(Z39/100)&amp;"túi")</f>
        <v>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>
        <v>240</v>
      </c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>
        <v>240</v>
      </c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>
        <v>100</v>
      </c>
      <c r="AS46" s="278" t="str">
        <f>IF(INT(AR46/600)&gt;=1,INT(AR46/600)&amp;" thùng + "&amp;MOD(AR46,600)/100&amp;" túi ",VALUE(AR46/100)&amp;"túi")</f>
        <v>1túi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1400</v>
      </c>
      <c r="X48" s="278" t="str">
        <f>IF(INT(W48/100)&gt;=1,INT(W48/100)&amp;" thùng + "&amp;MOD(W48,100)/100&amp;" túi ",VALUE(W48)&amp;"cái")</f>
        <v xml:space="preserve">14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/>
      <c r="AF49" s="278" t="str">
        <f>IF(INT(AE49/200)&gt;=1,INT(AE49/200)&amp;" thùng + "&amp;MOD(AE49,200)/100&amp;" túi ",VALUE(AE49)&amp;"cái")</f>
        <v>0cái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110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110</v>
      </c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150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150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/>
      <c r="AS53" s="363" t="str">
        <f>IF(INT(AR53/100)&gt;=1,INT(AR53/100)&amp;" thùng + "&amp;MOD(AR53,100)&amp;" cái ",VALUE(AR53/100)&amp;"cái")</f>
        <v>0cái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49"/>
      <c r="G1" s="548"/>
      <c r="H1" s="978" t="s">
        <v>268</v>
      </c>
      <c r="I1" s="979"/>
      <c r="J1" s="979"/>
      <c r="K1" s="979"/>
      <c r="L1" s="980"/>
    </row>
    <row r="2" spans="1:12" ht="26.25" customHeight="1">
      <c r="A2" s="4" t="s">
        <v>332</v>
      </c>
      <c r="B2" s="141"/>
      <c r="C2" s="5"/>
      <c r="D2" s="1033" t="s">
        <v>260</v>
      </c>
      <c r="E2" s="1033"/>
      <c r="F2" s="1034"/>
      <c r="G2" s="556"/>
      <c r="H2" s="440" t="str">
        <f>A2</f>
        <v>Ngày 9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557">
        <v>4</v>
      </c>
      <c r="J3" s="557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557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50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1000</v>
      </c>
      <c r="C34" s="278" t="str">
        <f>IF(INT(B34/1000)&gt;=1,INT(B34/1000)&amp;" thùng + "&amp;MOD(B34,1000)&amp;" cái",VALUE(B34)&amp;"cái")</f>
        <v>1 thùng + 0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2000</v>
      </c>
      <c r="C35" s="278" t="str">
        <f>IF(INT(B35/500)&gt;=1,INT(B35/500)&amp;" thùng + "&amp;MOD(B35,500)/100&amp;" túi",VALUE(B35/100)&amp;"túi")</f>
        <v>4 thùng + 0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1000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400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C132"/>
  <sheetViews>
    <sheetView topLeftCell="U1" zoomScale="80" zoomScaleNormal="80" workbookViewId="0">
      <pane ySplit="7" topLeftCell="A8" activePane="bottomLeft" state="frozen"/>
      <selection activeCell="Z27" sqref="Z27"/>
      <selection pane="bottomLeft" activeCell="AS33" sqref="AS33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558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560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559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333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10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10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10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10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561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570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561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561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71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71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569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567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568"/>
      <c r="K7" s="74" t="s">
        <v>63</v>
      </c>
      <c r="L7" s="74" t="s">
        <v>217</v>
      </c>
      <c r="M7" s="370" t="s">
        <v>230</v>
      </c>
      <c r="N7" s="932"/>
      <c r="O7" s="563" t="s">
        <v>63</v>
      </c>
      <c r="P7" s="563" t="s">
        <v>217</v>
      </c>
      <c r="Q7" s="371" t="s">
        <v>230</v>
      </c>
      <c r="S7" s="939"/>
      <c r="T7" s="74" t="s">
        <v>259</v>
      </c>
      <c r="U7" s="74" t="s">
        <v>217</v>
      </c>
      <c r="V7" s="563" t="s">
        <v>230</v>
      </c>
      <c r="W7" s="74" t="s">
        <v>63</v>
      </c>
      <c r="X7" s="74" t="s">
        <v>217</v>
      </c>
      <c r="Y7" s="563" t="s">
        <v>230</v>
      </c>
      <c r="Z7" s="315" t="s">
        <v>63</v>
      </c>
      <c r="AA7" s="563" t="s">
        <v>217</v>
      </c>
      <c r="AB7" s="394" t="s">
        <v>230</v>
      </c>
      <c r="AC7" s="420"/>
      <c r="AD7" s="1032"/>
      <c r="AE7" s="383" t="s">
        <v>63</v>
      </c>
      <c r="AF7" s="563" t="s">
        <v>217</v>
      </c>
      <c r="AG7" s="563" t="s">
        <v>230</v>
      </c>
      <c r="AH7" s="372" t="s">
        <v>63</v>
      </c>
      <c r="AI7" s="563" t="s">
        <v>217</v>
      </c>
      <c r="AJ7" s="563" t="s">
        <v>230</v>
      </c>
      <c r="AK7" s="562" t="s">
        <v>63</v>
      </c>
      <c r="AL7" s="340" t="s">
        <v>217</v>
      </c>
      <c r="AM7" s="420"/>
      <c r="AN7" s="1021"/>
      <c r="AO7" s="372" t="s">
        <v>63</v>
      </c>
      <c r="AP7" s="563" t="s">
        <v>217</v>
      </c>
      <c r="AQ7" s="563" t="s">
        <v>230</v>
      </c>
      <c r="AR7" s="563" t="s">
        <v>63</v>
      </c>
      <c r="AS7" s="563" t="s">
        <v>217</v>
      </c>
      <c r="AT7" s="563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400</v>
      </c>
      <c r="L8" s="276" t="str">
        <f>IF(INT(K8/4000)&gt;=1,INT(K8/4000)&amp;" thùng + "&amp;MOD(K8,4000)/100&amp;" túi ",VALUE(K8/100)&amp;"túi")</f>
        <v>4túi</v>
      </c>
      <c r="M8" s="313"/>
      <c r="N8" s="71"/>
      <c r="O8" s="98"/>
      <c r="P8" s="71"/>
      <c r="Q8" s="102"/>
      <c r="S8" s="178" t="s">
        <v>114</v>
      </c>
      <c r="T8" s="257">
        <v>3220</v>
      </c>
      <c r="U8" s="277" t="str">
        <f>IF(INT(T8/400)&gt;=1,INT(T8/400)&amp;" thùng + "&amp;MOD(T8,400)/50&amp;" túi ",VALUE(T8/50)&amp;"cái")</f>
        <v xml:space="preserve">8 thùng + 0.4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400</v>
      </c>
      <c r="L9" s="277" t="str">
        <f>IF(INT(K9/500)&gt;=1,INT(K9/500)&amp;" thùng + "&amp;MOD(K9,500)/100&amp;" túi ",VALUE(K9/100)&amp;"túi")</f>
        <v>4túi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800</v>
      </c>
      <c r="X9" s="278" t="str">
        <f>IF(INT(W9/4000)&gt;=1,INT(W9/4000)&amp;" thùng + "&amp;MOD(W9,4000)/100&amp;" túi ",VALUE(W9/100)&amp;"túi")</f>
        <v>8túi</v>
      </c>
      <c r="Y9" s="313"/>
      <c r="Z9" s="245">
        <v>400</v>
      </c>
      <c r="AA9" s="278" t="str">
        <f>IF(INT(Z9/4000)&gt;=1,INT(Z9/4000)&amp;" thùng + "&amp;MOD(Z9,4000)/100&amp;" túi ",VALUE(Z9/100)&amp;"túi")</f>
        <v>4túi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200</v>
      </c>
      <c r="AF10" s="278" t="str">
        <f>IF(INT(AE10/500)&gt;=1,INT(AE10/500)&amp;" thùng + "&amp;MOD(AE10,500)/100&amp;" túi ",VALUE(AE10/100)&amp;"túi")</f>
        <v>2túi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1000</v>
      </c>
      <c r="AI11" s="277" t="str">
        <f>IF(INT(AH11/2000)&gt;=1,INT(AH11/2000)&amp;" thùng + "&amp;MOD(AH11,2000)/100&amp;" túi ",VALUE(AH11/100)&amp;"túi")</f>
        <v>10túi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2800</v>
      </c>
      <c r="L12" s="278" t="str">
        <f t="shared" si="0"/>
        <v xml:space="preserve">1 thùng + 8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>
        <v>292</v>
      </c>
      <c r="AA12" s="278" t="str">
        <f t="shared" ref="AA12" si="2">IF(INT(Z12/2000)&gt;=1,INT(Z12/2000)&amp;" thùng + "&amp;MOD(Z12,2000)/100&amp;" túi ",VALUE(Z12/100)&amp;"túi")</f>
        <v>2.92túi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1000</v>
      </c>
      <c r="AP12" s="385" t="str">
        <f t="shared" ref="AP12" si="3">IF(INT(AO12/2000)&gt;=1,INT(AO12/2000)&amp;" thùng + "&amp;MOD(AO12,2000)/100&amp;" túi ",VALUE(AO12/100)&amp;"túi")</f>
        <v>10túi</v>
      </c>
      <c r="AQ12" s="386"/>
      <c r="AR12" s="244">
        <v>200</v>
      </c>
      <c r="AS12" s="385" t="str">
        <f t="shared" ref="AS12:AV12" si="4">IF(INT(AR12/2000)&gt;=1,INT(AR12/2000)&amp;" thùng + "&amp;MOD(AR12,2000)/100&amp;" túi ",VALUE(AR12/100)&amp;"túi")</f>
        <v>2túi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546</v>
      </c>
      <c r="AA13" s="277" t="str">
        <f>IF(INT(Z13/600)&gt;=1,INT(Z13/600)&amp;" thùng + "&amp;MOD(Z13,600)&amp;" cái ",VALUE(Z13)&amp;"cái")</f>
        <v>546cái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162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546</v>
      </c>
      <c r="AA14" s="278" t="str">
        <f>IF(INT(Z14/400)&gt;=1,INT(Z14/400)&amp;" thùng + "&amp;MOD(Z14,400)&amp;" cái ",VALUE(Z14/100)&amp;"túi")</f>
        <v xml:space="preserve">1 thùng + 146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162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546</v>
      </c>
      <c r="AA15" s="277" t="str">
        <f>IF(INT(Z15/600)&gt;=1,INT(Z15/600)&amp;" thùng + "&amp;MOD(Z15,600)&amp;" cái ",VALUE(Z15)&amp;"cái")</f>
        <v>546cái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500</v>
      </c>
      <c r="AI15" s="277" t="str">
        <f>IF(INT(AH15/600)&gt;=1,INT(AH15/600)&amp;" thùng + "&amp;MOD(AH15,600)/100&amp;" túi ",VALUE(AH15/100)&amp;"túi")</f>
        <v>5túi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546</v>
      </c>
      <c r="AA16" s="278" t="str">
        <f>IF(INT(Z16/400)&gt;=1,INT(Z16/400)&amp;" thùng + "&amp;MOD(Z16,400)&amp;" cái ",VALUE(Z16/100)&amp;"túi")</f>
        <v xml:space="preserve">1 thùng + 146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162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900</v>
      </c>
      <c r="X17" s="277" t="str">
        <f>IF(INT(W17/200)&gt;=1,INT(W17/200)&amp;" thùng + "&amp;MOD(W17,200)/50&amp;" túi ",VALUE(W17/50)&amp;"túi")</f>
        <v xml:space="preserve">4 thùng + 2 túi </v>
      </c>
      <c r="Y17" s="291"/>
      <c r="Z17" s="244">
        <v>546</v>
      </c>
      <c r="AA17" s="277" t="str">
        <f>IF(INT(Z17/200)&gt;=1,INT(Z17/200)&amp;" thùng + "&amp;MOD(Z17,200)&amp;" cái ",VALUE(Z17/50)&amp;"túi")</f>
        <v xml:space="preserve">2 thùng + 146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500</v>
      </c>
      <c r="AI17" s="277" t="str">
        <f>IF(INT(AH17/200)&gt;=1,INT(AH17/200)&amp;" thùng + "&amp;MOD(AH17,200)/50&amp;" túi ",VALUE(AH17/50)&amp;"túi")</f>
        <v xml:space="preserve">2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200</v>
      </c>
      <c r="AF18" s="278" t="str">
        <f>IF(INT(AE18/1200)&gt;=1,INT(AE18/1200)&amp;" thùng + "&amp;MOD(AE18,1200)/100&amp;" túi ",VALUE(AE18/100)&amp;"túi")</f>
        <v>2túi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18500</v>
      </c>
      <c r="L19" s="277" t="str">
        <f>IF(INT(K19/4000)&gt;=1,INT(K19/4000)&amp;" thùng + "&amp;MOD(K19,4000)/100&amp;" túi ",VALUE(K19/100)&amp;"túi")</f>
        <v xml:space="preserve">4 thùng + 25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9400</v>
      </c>
      <c r="X19" s="277" t="str">
        <f>IF(INT(W19/4000)&gt;=1,INT(W19/4000)&amp;" thùng + "&amp;MOD(W19,4000)&amp;" cái ",VALUE(W19/100)&amp;"túi")</f>
        <v xml:space="preserve">2 thùng + 1400 cái </v>
      </c>
      <c r="Y19" s="291"/>
      <c r="Z19" s="244">
        <v>9226</v>
      </c>
      <c r="AA19" s="278" t="str">
        <f>IF(INT(Z19/4000)&gt;=1,INT(Z19/4000)&amp;" thùng + "&amp;MOD(Z19,4000)/100&amp;" túi ",VALUE(Z19/100)&amp;"túi")</f>
        <v xml:space="preserve">2 thùng + 12.26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3500</v>
      </c>
      <c r="AI19" s="277" t="str">
        <f>IF(INT(AH19/4000)&gt;=1,INT(AH19/4000)&amp;" thùng + "&amp;MOD(AH19,4000)&amp;" cái ",VALUE(AH19/100)&amp;"túi")</f>
        <v>35túi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2700</v>
      </c>
      <c r="AS19" s="277" t="str">
        <f>IF(INT(AR19/4000)&gt;=1,INT(AR19/4000)&amp;" thùng + "&amp;MOD(AR19,4000)&amp;" cái ",VALUE(AR19/100)&amp;"túi")</f>
        <v>27túi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800</v>
      </c>
      <c r="L20" s="278" t="str">
        <f>IF(INT(K20/2000)&gt;=1,INT(K20/2000)&amp;" thùng + "&amp;MOD(K20,2000)/100&amp;" túi ",VALUE(K20/100)&amp;"túi")</f>
        <v>8túi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1000</v>
      </c>
      <c r="AI20" s="278" t="str">
        <f>IF(INT(AH20/2000)&gt;=1,INT(AH20/2000)&amp;" thùng + "&amp;MOD(AH20,2000)/100&amp;" túi ",VALUE(AH20/100)&amp;"túi")</f>
        <v>10túi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246</v>
      </c>
      <c r="AA21" s="278" t="str">
        <f>IF(INT(Z21/400)&gt;=1,INT(Z21/400)&amp;" thùng + "&amp;MOD(Z21,400)/100&amp;" túi ",VALUE(Z21/100)&amp;"túi")</f>
        <v>2.46túi</v>
      </c>
      <c r="AB21" s="398"/>
      <c r="AC21" s="423"/>
      <c r="AD21" s="116" t="s">
        <v>56</v>
      </c>
      <c r="AE21" s="250"/>
      <c r="AF21" s="286"/>
      <c r="AG21" s="305"/>
      <c r="AH21" s="250">
        <v>1000</v>
      </c>
      <c r="AI21" s="277" t="str">
        <f>IF(INT(AH21/100)&gt;=1,INT(AH21/100)&amp;" thùng + "&amp;MOD(AH21,100)/100&amp;" túi ",VALUE(AH21/100)&amp;"túi")</f>
        <v xml:space="preserve">10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200</v>
      </c>
      <c r="X22" s="278" t="str">
        <f>IF(INT(W22/300)&gt;=1,INT(W22/300)&amp;" thùng + "&amp;MOD(W22,300)/100&amp;" túi ",VALUE(W22/100)&amp;"túi")</f>
        <v>2túi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1000</v>
      </c>
      <c r="AI22" s="278" t="str">
        <f>IF(INT(AH22/100)&gt;=1,INT(AH22/100)&amp;" thùng + "&amp;MOD(AH22,100)/100&amp;" túi ",VALUE(AH22/100)&amp;"túi")</f>
        <v xml:space="preserve">10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1400</v>
      </c>
      <c r="U23" s="277" t="str">
        <f>IF(INT(T23/600)&gt;=1,INT(T23/600)&amp;" thùng + "&amp;MOD(T23,600)/100&amp;" túi ",VALUE(T23/100)&amp;"túi")</f>
        <v xml:space="preserve">2 thùng + 2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392</v>
      </c>
      <c r="AA23" s="277" t="str">
        <f>IF(INT(Z23/600)&gt;=1,INT(Z23/600)&amp;" thùng + "&amp;MOD(Z23,600)/100&amp;" túi ",VALUE(Z23/100)&amp;"túi")</f>
        <v>3.92túi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1400</v>
      </c>
      <c r="L24" s="277" t="str">
        <f>IF(INT(K24/600)&gt;=1,INT(K24/600)&amp;" thùng + "&amp;MOD(K24,600)/100&amp;" túi ",VALUE(K24/100)&amp;"túi")</f>
        <v xml:space="preserve">2 thùng + 2 túi </v>
      </c>
      <c r="M24" s="291"/>
      <c r="N24" s="71"/>
      <c r="O24" s="246"/>
      <c r="P24" s="123"/>
      <c r="Q24" s="130"/>
      <c r="S24" s="103" t="s">
        <v>60</v>
      </c>
      <c r="T24" s="244">
        <v>1400</v>
      </c>
      <c r="U24" s="277" t="str">
        <f>IF(INT(T24/500)&gt;=1,INT(T24/500)&amp;" thùng + "&amp;MOD(T24,500)/100&amp;" túi ",VALUE(T24/100)&amp;"túi")</f>
        <v xml:space="preserve">2 thùng + 4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392</v>
      </c>
      <c r="AA24" s="277" t="str">
        <f>IF(INT(Z24/500)&gt;=1,INT(Z24/500)&amp;" thùng + "&amp;MOD(Z24,500)/100&amp;" túi ",VALUE(Z24/100)&amp;"túi")</f>
        <v>3.92túi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/>
      <c r="AF25" s="277" t="str">
        <f>IF(INT(AE25/500)&gt;=1,INT(AE25/500)&amp;" thùng + "&amp;MOD(AE25,500)/100&amp;" túi ",VALUE(AE25/100)&amp;"túi")</f>
        <v>0túi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3220</v>
      </c>
      <c r="U26" s="278" t="str">
        <f>IF(INT(T26/4000)&gt;=1,INT(T26/4000)&amp;" thùng + "&amp;MOD(T26,4000)/100&amp;" túi ",VALUE(T26/100)&amp;"túi")</f>
        <v>32.2túi</v>
      </c>
      <c r="V26" s="291"/>
      <c r="W26" s="244"/>
      <c r="X26" s="278" t="str">
        <f>IF(INT(W26/4000)&gt;=1,INT(W26/4000)&amp;" thùng + "&amp;MOD(W26,4000)/100&amp;" túi ",VALUE(W26/100)&amp;"túi")</f>
        <v>0túi</v>
      </c>
      <c r="Y26" s="292"/>
      <c r="Z26" s="244">
        <v>1300</v>
      </c>
      <c r="AA26" s="277" t="str">
        <f>IF(INT(Z26/3000)&gt;=1,INT(Z26/3000)&amp;" thùng + "&amp;MOD(Z26,3000)/100&amp;" túi ",VALUE(Z26/100)&amp;"túi")</f>
        <v>13túi</v>
      </c>
      <c r="AB26" s="398"/>
      <c r="AC26" s="423"/>
      <c r="AD26" s="115" t="s">
        <v>73</v>
      </c>
      <c r="AE26" s="251">
        <v>200</v>
      </c>
      <c r="AF26" s="288" t="str">
        <f>IF(INT(AE26/4000)&gt;=1,INT(AE26/4000)&amp;" thùng + "&amp;MOD(AE26,4000)/100&amp;" túi ",VALUE(AE26/100)&amp;"túi")</f>
        <v>2túi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400</v>
      </c>
      <c r="AS26" s="385" t="str">
        <f>IF(INT(AR26/4000)&gt;=1,INT(AR26/4000)&amp;" thùng + "&amp;MOD(AR26,4000)/100&amp;" túi ",VALUE(AR26/100)&amp;"túi")</f>
        <v>4túi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1400</v>
      </c>
      <c r="P27" s="363" t="str">
        <f>IF(INT(O27/50)&gt;=1,INT(O27/50)&amp;" thùng + "&amp;MOD(O27,50)&amp;" cái ",VALUE(O27/50)&amp;"cái")</f>
        <v xml:space="preserve">28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492</v>
      </c>
      <c r="AA27" s="278" t="str">
        <f>IF(INT(Z27/400)&gt;=1,INT(Z27/400)&amp;" thùng + "&amp;MOD(Z27,400)/100&amp;" túi ",VALUE(Z27/100)&amp;"túi")</f>
        <v xml:space="preserve">1 thùng + 0.92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100</v>
      </c>
      <c r="AA28" s="278" t="str">
        <f>IF(INT(Z28/1000)&gt;=1,INT(Z28/1000)&amp;" thùng + "&amp;MOD(Z28,1000)/100&amp;" túi ",VALUE(Z28/100)&amp;"túi")</f>
        <v>1túi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600</v>
      </c>
      <c r="AS28" s="385" t="str">
        <f>IF(INT(AR28/1000)&gt;=1,INT(AR28/1000)&amp;" thùng + "&amp;MOD(AR28,1000)/100&amp;" túi ",VALUE(AR28/100)&amp;"túi")</f>
        <v>6túi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/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246</v>
      </c>
      <c r="AA29" s="278" t="str">
        <f>IF(INT(Z29/200)&gt;=1,INT(Z29/200)&amp;" thùng + "&amp;MOD(Z29,200)/50&amp;" túi ",VALUE(Z29/50)&amp;"túi")</f>
        <v xml:space="preserve">1 thùng + 0.92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500</v>
      </c>
      <c r="C30" s="363" t="str">
        <f>IF(INT(B30/20)&gt;=1,INT(B30/20)&amp;" thùng + "&amp;MOD(B30,20)&amp;" cái ",VALUE(B30/20)&amp;"cái")</f>
        <v xml:space="preserve">25 thùng + 0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200</v>
      </c>
      <c r="L33" s="363" t="str">
        <f>IF(INT(K33/20)&gt;=1,INT(K33/20)&amp;" thùng + "&amp;MOD(K33,20)&amp;" cái ",VALUE(K33/20)&amp;"cái")</f>
        <v xml:space="preserve">10 thùng + 0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1800</v>
      </c>
      <c r="X33" s="278" t="str">
        <f>IF(INT(W33/300)&gt;=1,INT(W33/300)&amp;" thùng + "&amp;MOD(W33,300)/100&amp;" túi ",VALUE(W33/100)&amp;"túi")</f>
        <v xml:space="preserve">6 thùng + 0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200</v>
      </c>
      <c r="AS33" s="278" t="str">
        <f>IF(INT(AR33/4000)&gt;=1,INT(AR33/4000)&amp;" thùng + "&amp;MOD(AR33,4000)/100&amp;" túi ",VALUE(AR33/100)&amp;"túi")</f>
        <v>2túi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500</v>
      </c>
      <c r="L34" s="277" t="str">
        <f>IF(INT(K34/1000)&gt;=1,INT(K34/1000)&amp;" thùng + "&amp;MOD(K34,1000)/100&amp;" túi ",VALUE(K34/100)&amp;"túi")</f>
        <v>5túi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900</v>
      </c>
      <c r="X34" s="278" t="str">
        <f>IF(INT(W34/1000)&gt;=1,INT(W34/1000)&amp;" thùng + "&amp;MOD(W34,1000)/100&amp;" túi ",VALUE(W34/100)&amp;"túi")</f>
        <v>9túi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492</v>
      </c>
      <c r="AA35" s="278" t="str">
        <f>IF(INT(Z35/4000)&gt;=1,INT(Z35/4000)&amp;" thùng + "&amp;MOD(Z35,4000)/100&amp;" túi ",VALUE(Z35/100)&amp;"túi")</f>
        <v>4.92túi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492</v>
      </c>
      <c r="AA36" s="277" t="str">
        <f>IF(INT(Z36/50)&gt;=1,INT(Z36/50)&amp;" thùng + "&amp;MOD(Z36,50)&amp;" cái ",VALUE(Z36)&amp;"cái")</f>
        <v xml:space="preserve">9 thùng + 42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81"/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400</v>
      </c>
      <c r="AA37" s="277" t="str">
        <f>IF(INT(Z37/1000)&gt;=1,INT(Z37/1000)&amp;" thùng + "&amp;MOD(Z37,1000)/100&amp;" túi ",VALUE(Z37/100)&amp;"túi")</f>
        <v>4túi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984</v>
      </c>
      <c r="AA38" s="278" t="str">
        <f>IF(INT(Z38/3000)&gt;=1,INT(Z38/3000)&amp;" thùng + "&amp;MOD(Z38,3000)/100&amp;" túi ",VALUE(Z38/100)&amp;"túi")</f>
        <v>9.84túi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100</v>
      </c>
      <c r="AV38" s="278" t="str">
        <f>IF(INT(AU38/3000)&gt;=1,INT(AU38/3000)&amp;" thùng + "&amp;MOD(AU38,3000)/100&amp;" túi ",VALUE(AU38/100)&amp;"túi")</f>
        <v>1túi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246</v>
      </c>
      <c r="AA39" s="278" t="str">
        <f t="shared" ref="AA39" si="9">IF(INT(Z39/2000)&gt;=1,INT(Z39/2000)&amp;" thùng + "&amp;MOD(Z39,2000)/100&amp;" túi ",VALUE(Z39/100)&amp;"túi")</f>
        <v>2.46túi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500</v>
      </c>
      <c r="AV39" s="277" t="str">
        <f>IF(INT(AU39/400)&gt;=1,INT(AU39/400)&amp;" thùng + "&amp;MOD(AU39,400)/100&amp;" túi ",VALUE(AU39/100)&amp;"túi")</f>
        <v xml:space="preserve">1 thùng + 1 túi 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400</v>
      </c>
      <c r="X45" s="277" t="str">
        <f>IF(INT(W45/400)&gt;=1,INT(W45/400)&amp;" thùng + "&amp;MOD(W45,400)/100&amp;" túi ",VALUE(W45)&amp;"cái")</f>
        <v xml:space="preserve">1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400</v>
      </c>
      <c r="X46" s="278" t="str">
        <f>IF(INT(W46/100)&gt;=1,INT(W46/100)&amp;" thùng + "&amp;MOD(W46,100)/100&amp;" túi ",VALUE(W46)&amp;"cái")</f>
        <v xml:space="preserve">4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>
        <v>100</v>
      </c>
      <c r="AS46" s="278" t="str">
        <f>IF(INT(AR46/600)&gt;=1,INT(AR46/600)&amp;" thùng + "&amp;MOD(AR46,600)/100&amp;" túi ",VALUE(AR46/100)&amp;"túi")</f>
        <v>1túi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900</v>
      </c>
      <c r="X47" s="278" t="str">
        <f>IF(INT(W47/50)&gt;=1,INT(W47/50)&amp;" thùng + "&amp;MOD(W47,50)/10&amp;" túi ",VALUE(W47/10)&amp;"túi")</f>
        <v xml:space="preserve">18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200</v>
      </c>
      <c r="AS47" s="278" t="str">
        <f>IF(INT(AR47/50)&gt;=1,INT(AR47/50)&amp;" thùng + "&amp;MOD(AR47,50)/10&amp;" túi ",VALUE(AR47/10)&amp;"túi")</f>
        <v xml:space="preserve">4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/>
      <c r="AF49" s="278" t="str">
        <f>IF(INT(AE49/200)&gt;=1,INT(AE49/200)&amp;" thùng + "&amp;MOD(AE49,200)/100&amp;" túi ",VALUE(AE49)&amp;"cái")</f>
        <v>0cái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65"/>
      <c r="G1" s="564"/>
      <c r="H1" s="978" t="s">
        <v>268</v>
      </c>
      <c r="I1" s="979"/>
      <c r="J1" s="979"/>
      <c r="K1" s="979"/>
      <c r="L1" s="980"/>
    </row>
    <row r="2" spans="1:12" ht="26.25" customHeight="1">
      <c r="A2" s="4" t="s">
        <v>333</v>
      </c>
      <c r="B2" s="141"/>
      <c r="C2" s="5"/>
      <c r="D2" s="1033" t="s">
        <v>260</v>
      </c>
      <c r="E2" s="1033"/>
      <c r="F2" s="1034"/>
      <c r="G2" s="572"/>
      <c r="H2" s="440" t="str">
        <f>A2</f>
        <v>Ngày 10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573">
        <v>4</v>
      </c>
      <c r="J3" s="573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573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66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/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/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C132"/>
  <sheetViews>
    <sheetView zoomScale="80" zoomScaleNormal="80" workbookViewId="0">
      <pane ySplit="7" topLeftCell="A8" activePane="bottomLeft" state="frozen"/>
      <selection activeCell="Z27" sqref="Z27"/>
      <selection pane="bottomLeft" activeCell="K20" sqref="K20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576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578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577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334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11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11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11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11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579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584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579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579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83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83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586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585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587"/>
      <c r="K7" s="74" t="s">
        <v>63</v>
      </c>
      <c r="L7" s="74" t="s">
        <v>217</v>
      </c>
      <c r="M7" s="370" t="s">
        <v>230</v>
      </c>
      <c r="N7" s="932"/>
      <c r="O7" s="575" t="s">
        <v>63</v>
      </c>
      <c r="P7" s="575" t="s">
        <v>217</v>
      </c>
      <c r="Q7" s="371" t="s">
        <v>230</v>
      </c>
      <c r="S7" s="939"/>
      <c r="T7" s="74" t="s">
        <v>259</v>
      </c>
      <c r="U7" s="74" t="s">
        <v>217</v>
      </c>
      <c r="V7" s="575" t="s">
        <v>230</v>
      </c>
      <c r="W7" s="74" t="s">
        <v>63</v>
      </c>
      <c r="X7" s="74" t="s">
        <v>217</v>
      </c>
      <c r="Y7" s="575" t="s">
        <v>230</v>
      </c>
      <c r="Z7" s="315" t="s">
        <v>63</v>
      </c>
      <c r="AA7" s="575" t="s">
        <v>217</v>
      </c>
      <c r="AB7" s="394" t="s">
        <v>230</v>
      </c>
      <c r="AC7" s="420"/>
      <c r="AD7" s="1032"/>
      <c r="AE7" s="383" t="s">
        <v>63</v>
      </c>
      <c r="AF7" s="575" t="s">
        <v>217</v>
      </c>
      <c r="AG7" s="575" t="s">
        <v>230</v>
      </c>
      <c r="AH7" s="372" t="s">
        <v>63</v>
      </c>
      <c r="AI7" s="575" t="s">
        <v>217</v>
      </c>
      <c r="AJ7" s="575" t="s">
        <v>230</v>
      </c>
      <c r="AK7" s="574" t="s">
        <v>63</v>
      </c>
      <c r="AL7" s="340" t="s">
        <v>217</v>
      </c>
      <c r="AM7" s="420"/>
      <c r="AN7" s="1021"/>
      <c r="AO7" s="372" t="s">
        <v>63</v>
      </c>
      <c r="AP7" s="575" t="s">
        <v>217</v>
      </c>
      <c r="AQ7" s="575" t="s">
        <v>230</v>
      </c>
      <c r="AR7" s="575" t="s">
        <v>63</v>
      </c>
      <c r="AS7" s="575" t="s">
        <v>217</v>
      </c>
      <c r="AT7" s="575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3650</v>
      </c>
      <c r="U8" s="277" t="str">
        <f>IF(INT(T8/400)&gt;=1,INT(T8/400)&amp;" thùng + "&amp;MOD(T8,400)/50&amp;" túi ",VALUE(T8/50)&amp;"cái")</f>
        <v xml:space="preserve">9 thùng + 1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500</v>
      </c>
      <c r="AA9" s="278" t="str">
        <f>IF(INT(Z9/4000)&gt;=1,INT(Z9/4000)&amp;" thùng + "&amp;MOD(Z9,4000)/100&amp;" túi ",VALUE(Z9/100)&amp;"túi")</f>
        <v>5túi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200</v>
      </c>
      <c r="AF10" s="278" t="str">
        <f>IF(INT(AE10/500)&gt;=1,INT(AE10/500)&amp;" thùng + "&amp;MOD(AE10,500)/100&amp;" túi ",VALUE(AE10/100)&amp;"túi")</f>
        <v>2túi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1000</v>
      </c>
      <c r="AP12" s="385" t="str">
        <f t="shared" ref="AP12" si="3">IF(INT(AO12/2000)&gt;=1,INT(AO12/2000)&amp;" thùng + "&amp;MOD(AO12,2000)/100&amp;" túi ",VALUE(AO12/100)&amp;"túi")</f>
        <v>10túi</v>
      </c>
      <c r="AQ12" s="386"/>
      <c r="AR12" s="244">
        <v>200</v>
      </c>
      <c r="AS12" s="385" t="str">
        <f t="shared" ref="AS12:AV12" si="4">IF(INT(AR12/2000)&gt;=1,INT(AR12/2000)&amp;" thùng + "&amp;MOD(AR12,2000)/100&amp;" túi ",VALUE(AR12/100)&amp;"túi")</f>
        <v>2túi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1600</v>
      </c>
      <c r="X13" s="277" t="str">
        <f>IF(INT(W13/600)&gt;=1,INT(W13/600)&amp;" thùng + "&amp;MOD(W13,600)/100&amp;" túi ",VALUE(W13/100)&amp;"túi")</f>
        <v xml:space="preserve">2 thùng + 4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1600</v>
      </c>
      <c r="X14" s="278" t="str">
        <f>IF(INT(W14/400)&gt;=1,INT(W14/400)&amp;" thùng + "&amp;MOD(W14,400)/100&amp;" túi ",VALUE(W14/100)&amp;"túi")</f>
        <v xml:space="preserve">4 thùng + 0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1600</v>
      </c>
      <c r="X15" s="277" t="str">
        <f>IF(INT(W15/600)&gt;=1,INT(W15/600)&amp;" thùng + "&amp;MOD(W15,600)/100&amp;" túi ",VALUE(W15/100)&amp;"túi")</f>
        <v xml:space="preserve">2 thùng + 4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1600</v>
      </c>
      <c r="X16" s="278" t="str">
        <f>IF(INT(W16/400)&gt;=1,INT(W16/400)&amp;" thùng + "&amp;MOD(W16,400)/100&amp;" túi ",VALUE(W16/100)&amp;"túi")</f>
        <v xml:space="preserve">4 thùng + 0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900</v>
      </c>
      <c r="X17" s="277" t="str">
        <f>IF(INT(W17/200)&gt;=1,INT(W17/200)&amp;" thùng + "&amp;MOD(W17,200)/50&amp;" túi ",VALUE(W17/50)&amp;"túi")</f>
        <v xml:space="preserve">4 thùng + 2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2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700</v>
      </c>
      <c r="X18" s="278" t="str">
        <f>IF(INT(W18/200)&gt;=1,INT(W18/200)&amp;" thùng + "&amp;MOD(W18,200)/50&amp;" túi ",VALUE(W18/50)&amp;"túi")</f>
        <v xml:space="preserve">3 thùng + 2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200</v>
      </c>
      <c r="AF18" s="278" t="str">
        <f>IF(INT(AE18/1200)&gt;=1,INT(AE18/1200)&amp;" thùng + "&amp;MOD(AE18,1200)/100&amp;" túi ",VALUE(AE18/100)&amp;"túi")</f>
        <v>2túi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19000</v>
      </c>
      <c r="G19" s="277" t="str">
        <f>IF(INT(F19/4000)&gt;=1,INT(F19/4000)&amp;" thùng + "&amp;MOD(F19,4000)/100&amp;" túi ",VALUE(F19/100)&amp;"túi")</f>
        <v xml:space="preserve">4 thùng + 30 túi </v>
      </c>
      <c r="H19" s="346"/>
      <c r="J19" s="234" t="s">
        <v>113</v>
      </c>
      <c r="K19" s="242" t="s">
        <v>338</v>
      </c>
      <c r="L19" s="277" t="e">
        <f>IF(INT(K19/4000)&gt;=1,INT(K19/4000)&amp;" thùng + "&amp;MOD(K19,4000)/100&amp;" túi ",VALUE(K19/100)&amp;"túi")</f>
        <v>#VALUE!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10100</v>
      </c>
      <c r="X19" s="277" t="str">
        <f>IF(INT(W19/4000)&gt;=1,INT(W19/4000)&amp;" thùng + "&amp;MOD(W19,4000)&amp;" cái ",VALUE(W19/100)&amp;"túi")</f>
        <v xml:space="preserve">2 thùng + 2100 cái </v>
      </c>
      <c r="Y19" s="291"/>
      <c r="Z19" s="244">
        <v>8900</v>
      </c>
      <c r="AA19" s="278" t="str">
        <f>IF(INT(Z19/4000)&gt;=1,INT(Z19/4000)&amp;" thùng + "&amp;MOD(Z19,4000)/100&amp;" túi ",VALUE(Z19/100)&amp;"túi")</f>
        <v xml:space="preserve">2 thùng + 9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2400</v>
      </c>
      <c r="AS19" s="277" t="str">
        <f>IF(INT(AR19/4000)&gt;=1,INT(AR19/4000)&amp;" thùng + "&amp;MOD(AR19,4000)&amp;" cái ",VALUE(AR19/100)&amp;"túi")</f>
        <v>24túi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400</v>
      </c>
      <c r="AA21" s="278" t="str">
        <f>IF(INT(Z21/400)&gt;=1,INT(Z21/400)&amp;" thùng + "&amp;MOD(Z21,400)/100&amp;" túi ",VALUE(Z21/100)&amp;"túi")</f>
        <v xml:space="preserve">1 thùng + 0 túi 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800</v>
      </c>
      <c r="G24" s="277" t="str">
        <f>IF(INT(F24/1000)&gt;=1,INT(F24/1000)&amp;" thùng + "&amp;MOD(F24,1000)/100&amp;" túi ",VALUE(F24/100)&amp;"túi")</f>
        <v>8túi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 t="s">
        <v>336</v>
      </c>
      <c r="U24" s="277" t="e">
        <f>IF(INT(T24/500)&gt;=1,INT(T24/500)&amp;" thùng + "&amp;MOD(T24,500)/100&amp;" túi ",VALUE(T24/100)&amp;"túi")</f>
        <v>#VALUE!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/>
      <c r="AF25" s="277" t="str">
        <f>IF(INT(AE25/500)&gt;=1,INT(AE25/500)&amp;" thùng + "&amp;MOD(AE25,500)/100&amp;" túi ",VALUE(AE25/100)&amp;"túi")</f>
        <v>0túi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3650</v>
      </c>
      <c r="U26" s="278" t="str">
        <f>IF(INT(T26/4000)&gt;=1,INT(T26/4000)&amp;" thùng + "&amp;MOD(T26,4000)/100&amp;" túi ",VALUE(T26/100)&amp;"túi")</f>
        <v>36.5túi</v>
      </c>
      <c r="V26" s="291"/>
      <c r="W26" s="244"/>
      <c r="X26" s="278" t="str">
        <f>IF(INT(W26/4000)&gt;=1,INT(W26/4000)&amp;" thùng + "&amp;MOD(W26,4000)/100&amp;" túi ",VALUE(W26/100)&amp;"túi")</f>
        <v>0túi</v>
      </c>
      <c r="Y26" s="292"/>
      <c r="Z26" s="244">
        <v>1730</v>
      </c>
      <c r="AA26" s="277" t="str">
        <f>IF(INT(Z26/3000)&gt;=1,INT(Z26/3000)&amp;" thùng + "&amp;MOD(Z26,3000)/100&amp;" túi ",VALUE(Z26/100)&amp;"túi")</f>
        <v>17.3túi</v>
      </c>
      <c r="AB26" s="398"/>
      <c r="AC26" s="423"/>
      <c r="AD26" s="115" t="s">
        <v>73</v>
      </c>
      <c r="AE26" s="251">
        <v>200</v>
      </c>
      <c r="AF26" s="288" t="str">
        <f>IF(INT(AE26/4000)&gt;=1,INT(AE26/4000)&amp;" thùng + "&amp;MOD(AE26,4000)/100&amp;" túi ",VALUE(AE26/100)&amp;"túi")</f>
        <v>2túi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 t="s">
        <v>335</v>
      </c>
      <c r="C27" s="363" t="e">
        <f>IF(INT(B27/50)&gt;=1,INT(B27/50)&amp;" thùng + "&amp;MOD(B27,50)&amp;" cái ",VALUE(B27/50)&amp;"cái")</f>
        <v>#VALUE!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800</v>
      </c>
      <c r="P27" s="363" t="str">
        <f>IF(INT(O27/50)&gt;=1,INT(O27/50)&amp;" thùng + "&amp;MOD(O27,50)&amp;" cái ",VALUE(O27/50)&amp;"cái")</f>
        <v xml:space="preserve">16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800</v>
      </c>
      <c r="AA27" s="278" t="str">
        <f>IF(INT(Z27/400)&gt;=1,INT(Z27/400)&amp;" thùng + "&amp;MOD(Z27,400)/100&amp;" túi ",VALUE(Z27/100)&amp;"túi")</f>
        <v xml:space="preserve">2 thùng + 0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300</v>
      </c>
      <c r="AA28" s="278" t="str">
        <f>IF(INT(Z28/1000)&gt;=1,INT(Z28/1000)&amp;" thùng + "&amp;MOD(Z28,1000)/100&amp;" túi ",VALUE(Z28/100)&amp;"túi")</f>
        <v>3túi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300</v>
      </c>
      <c r="AS28" s="385" t="str">
        <f>IF(INT(AR28/1000)&gt;=1,INT(AR28/1000)&amp;" thùng + "&amp;MOD(AR28,1000)/100&amp;" túi ",VALUE(AR28/100)&amp;"túi")</f>
        <v>3túi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400</v>
      </c>
      <c r="AA29" s="278" t="str">
        <f>IF(INT(Z29/200)&gt;=1,INT(Z29/200)&amp;" thùng + "&amp;MOD(Z29,200)/50&amp;" túi ",VALUE(Z29/50)&amp;"túi")</f>
        <v xml:space="preserve">2 thùng + 0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3600</v>
      </c>
      <c r="C32" s="277" t="str">
        <f>IF(INT(B32/100)&gt;=1,INT(B32/100)&amp;" thùng + "&amp;MOD(B32,100)/100&amp;" cái ",VALUE(B32/100)&amp;"cái")</f>
        <v xml:space="preserve">36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1800</v>
      </c>
      <c r="X33" s="278" t="str">
        <f>IF(INT(W33/300)&gt;=1,INT(W33/300)&amp;" thùng + "&amp;MOD(W33,300)/100&amp;" túi ",VALUE(W33/100)&amp;"túi")</f>
        <v xml:space="preserve">6 thùng + 0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 t="s">
        <v>337</v>
      </c>
      <c r="L34" s="277" t="e">
        <f>IF(INT(K34/1000)&gt;=1,INT(K34/1000)&amp;" thùng + "&amp;MOD(K34,1000)/100&amp;" túi ",VALUE(K34/100)&amp;"túi")</f>
        <v>#VALUE!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/>
      <c r="X34" s="278" t="str">
        <f>IF(INT(W34/1000)&gt;=1,INT(W34/1000)&amp;" thùng + "&amp;MOD(W34,1000)/100&amp;" túi ",VALUE(W34/100)&amp;"túi")</f>
        <v>0túi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800</v>
      </c>
      <c r="AA35" s="278" t="str">
        <f>IF(INT(Z35/4000)&gt;=1,INT(Z35/4000)&amp;" thùng + "&amp;MOD(Z35,4000)/100&amp;" túi ",VALUE(Z35/100)&amp;"túi")</f>
        <v>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800</v>
      </c>
      <c r="AA36" s="277" t="str">
        <f>IF(INT(Z36/50)&gt;=1,INT(Z36/50)&amp;" thùng + "&amp;MOD(Z36,50)&amp;" cái ",VALUE(Z36)&amp;"cái")</f>
        <v xml:space="preserve">16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500</v>
      </c>
      <c r="AA37" s="277" t="str">
        <f>IF(INT(Z37/1000)&gt;=1,INT(Z37/1000)&amp;" thùng + "&amp;MOD(Z37,1000)/100&amp;" túi ",VALUE(Z37/100)&amp;"túi")</f>
        <v>5túi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1600</v>
      </c>
      <c r="AA38" s="278" t="str">
        <f>IF(INT(Z38/3000)&gt;=1,INT(Z38/3000)&amp;" thùng + "&amp;MOD(Z38,3000)/100&amp;" túi ",VALUE(Z38/100)&amp;"túi")</f>
        <v>16túi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400</v>
      </c>
      <c r="AA39" s="278" t="str">
        <f t="shared" ref="AA39" si="9">IF(INT(Z39/2000)&gt;=1,INT(Z39/2000)&amp;" thùng + "&amp;MOD(Z39,2000)/100&amp;" túi ",VALUE(Z39/100)&amp;"túi")</f>
        <v>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>
        <v>255</v>
      </c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>
        <v>255</v>
      </c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>
        <v>100</v>
      </c>
      <c r="AS46" s="278" t="str">
        <f>IF(INT(AR46/600)&gt;=1,INT(AR46/600)&amp;" thùng + "&amp;MOD(AR46,600)/100&amp;" túi ",VALUE(AR46/100)&amp;"túi")</f>
        <v>1túi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900</v>
      </c>
      <c r="X47" s="278" t="str">
        <f>IF(INT(W47/50)&gt;=1,INT(W47/50)&amp;" thùng + "&amp;MOD(W47,50)/10&amp;" túi ",VALUE(W47/10)&amp;"túi")</f>
        <v xml:space="preserve">18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100</v>
      </c>
      <c r="AS47" s="278" t="str">
        <f>IF(INT(AR47/50)&gt;=1,INT(AR47/50)&amp;" thùng + "&amp;MOD(AR47,50)/10&amp;" túi ",VALUE(AR47/10)&amp;"túi")</f>
        <v xml:space="preserve">2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1400</v>
      </c>
      <c r="X48" s="278" t="str">
        <f>IF(INT(W48/100)&gt;=1,INT(W48/100)&amp;" thùng + "&amp;MOD(W48,100)/100&amp;" túi ",VALUE(W48)&amp;"cái")</f>
        <v xml:space="preserve">14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/>
      <c r="AF49" s="278" t="str">
        <f>IF(INT(AE49/200)&gt;=1,INT(AE49/200)&amp;" thùng + "&amp;MOD(AE49,200)/100&amp;" túi ",VALUE(AE49)&amp;"cái")</f>
        <v>0cái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125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125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/>
      <c r="AS53" s="363" t="str">
        <f>IF(INT(AR53/100)&gt;=1,INT(AR53/100)&amp;" thùng + "&amp;MOD(AR53,100)&amp;" cái ",VALUE(AR53/100)&amp;"cái")</f>
        <v>0cái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>
        <v>200</v>
      </c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81"/>
      <c r="G1" s="580"/>
      <c r="H1" s="978" t="s">
        <v>268</v>
      </c>
      <c r="I1" s="979"/>
      <c r="J1" s="979"/>
      <c r="K1" s="979"/>
      <c r="L1" s="980"/>
    </row>
    <row r="2" spans="1:12" ht="26.25" customHeight="1">
      <c r="A2" s="4" t="s">
        <v>334</v>
      </c>
      <c r="B2" s="141"/>
      <c r="C2" s="5"/>
      <c r="D2" s="1033" t="s">
        <v>260</v>
      </c>
      <c r="E2" s="1033"/>
      <c r="F2" s="1034"/>
      <c r="G2" s="588"/>
      <c r="H2" s="440" t="str">
        <f>A2</f>
        <v>Ngày 11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589">
        <v>4</v>
      </c>
      <c r="J3" s="589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589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82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C132"/>
  <sheetViews>
    <sheetView topLeftCell="R1" zoomScale="80" zoomScaleNormal="80" workbookViewId="0">
      <pane ySplit="7" topLeftCell="A8" activePane="bottomLeft" state="frozen"/>
      <selection activeCell="Z27" sqref="Z27"/>
      <selection pane="bottomLeft" activeCell="Z38" sqref="Z38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592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594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593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339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12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12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12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12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595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00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595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595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599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599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02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01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603"/>
      <c r="K7" s="74" t="s">
        <v>63</v>
      </c>
      <c r="L7" s="74" t="s">
        <v>217</v>
      </c>
      <c r="M7" s="370" t="s">
        <v>230</v>
      </c>
      <c r="N7" s="932"/>
      <c r="O7" s="591" t="s">
        <v>63</v>
      </c>
      <c r="P7" s="591" t="s">
        <v>217</v>
      </c>
      <c r="Q7" s="371" t="s">
        <v>230</v>
      </c>
      <c r="S7" s="939"/>
      <c r="T7" s="74" t="s">
        <v>259</v>
      </c>
      <c r="U7" s="74" t="s">
        <v>217</v>
      </c>
      <c r="V7" s="591" t="s">
        <v>230</v>
      </c>
      <c r="W7" s="74" t="s">
        <v>63</v>
      </c>
      <c r="X7" s="74" t="s">
        <v>217</v>
      </c>
      <c r="Y7" s="591" t="s">
        <v>230</v>
      </c>
      <c r="Z7" s="315" t="s">
        <v>63</v>
      </c>
      <c r="AA7" s="591" t="s">
        <v>217</v>
      </c>
      <c r="AB7" s="394" t="s">
        <v>230</v>
      </c>
      <c r="AC7" s="420"/>
      <c r="AD7" s="1032"/>
      <c r="AE7" s="383" t="s">
        <v>63</v>
      </c>
      <c r="AF7" s="591" t="s">
        <v>217</v>
      </c>
      <c r="AG7" s="591" t="s">
        <v>230</v>
      </c>
      <c r="AH7" s="372" t="s">
        <v>63</v>
      </c>
      <c r="AI7" s="591" t="s">
        <v>217</v>
      </c>
      <c r="AJ7" s="591" t="s">
        <v>230</v>
      </c>
      <c r="AK7" s="590" t="s">
        <v>63</v>
      </c>
      <c r="AL7" s="340" t="s">
        <v>217</v>
      </c>
      <c r="AM7" s="420"/>
      <c r="AN7" s="1021"/>
      <c r="AO7" s="372" t="s">
        <v>63</v>
      </c>
      <c r="AP7" s="591" t="s">
        <v>217</v>
      </c>
      <c r="AQ7" s="591" t="s">
        <v>230</v>
      </c>
      <c r="AR7" s="591" t="s">
        <v>63</v>
      </c>
      <c r="AS7" s="591" t="s">
        <v>217</v>
      </c>
      <c r="AT7" s="591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 t="s">
        <v>341</v>
      </c>
      <c r="U8" s="277" t="e">
        <f>IF(INT(T8/400)&gt;=1,INT(T8/400)&amp;" thùng + "&amp;MOD(T8,400)/50&amp;" túi ",VALUE(T8/50)&amp;"cái")</f>
        <v>#VALUE!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340</v>
      </c>
      <c r="AI8" s="276" t="str">
        <f>IF(INT(AH8/4000)&gt;=1,INT(AH8/4000)&amp;" thùng + "&amp;MOD(AH8,4000)/100&amp;" túi ",VALUE(AH8/100)&amp;"túi")</f>
        <v>3.4túi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600</v>
      </c>
      <c r="AA9" s="278" t="str">
        <f>IF(INT(Z9/4000)&gt;=1,INT(Z9/4000)&amp;" thùng + "&amp;MOD(Z9,4000)/100&amp;" túi ",VALUE(Z9/100)&amp;"túi")</f>
        <v>6túi</v>
      </c>
      <c r="AB9" s="397"/>
      <c r="AC9" s="422"/>
      <c r="AD9" s="112" t="s">
        <v>238</v>
      </c>
      <c r="AE9" s="242"/>
      <c r="AF9" s="279"/>
      <c r="AG9" s="293"/>
      <c r="AH9" s="242">
        <v>340</v>
      </c>
      <c r="AI9" s="277" t="str">
        <f>IF(INT(AH9/500)&gt;=1,INT(AH9/500)&amp;" thùng + "&amp;MOD(AH9,500)/100&amp;" túi ",VALUE(AH9/100)&amp;"túi")</f>
        <v>3.4túi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600</v>
      </c>
      <c r="L10" s="278" t="str">
        <f>IF(INT(K10/500)&gt;=1,INT(K10/500)&amp;" thùng + "&amp;MOD(K10,500)/100&amp;" túi ",VALUE(K10/100)&amp;"túi")</f>
        <v xml:space="preserve">1 thùng + 1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200</v>
      </c>
      <c r="AF10" s="278" t="str">
        <f>IF(INT(AE10/500)&gt;=1,INT(AE10/500)&amp;" thùng + "&amp;MOD(AE10,500)/100&amp;" túi ",VALUE(AE10/100)&amp;"túi")</f>
        <v>2túi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200</v>
      </c>
      <c r="AP10" s="278" t="str">
        <f>IF(INT(AO10/500)&gt;=1,INT(AO10/500)&amp;" thùng + "&amp;MOD(AO10,500)/100&amp;" túi ",VALUE(AO10/100)&amp;"túi")</f>
        <v>2túi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1600</v>
      </c>
      <c r="L11" s="277" t="str">
        <f t="shared" ref="L11:L12" si="0">IF(INT(K11/2000)&gt;=1,INT(K11/2000)&amp;" thùng + "&amp;MOD(K11,2000)/100&amp;" túi ",VALUE(K11/100)&amp;"túi")</f>
        <v>16túi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2800</v>
      </c>
      <c r="G12" s="277" t="str">
        <f>IF(INT(F12/2000)&gt;=1,INT(F12/2000)&amp;" thùng + "&amp;MOD(F12,2000)/100&amp;" túi ",VALUE(F12/100)&amp;"túi")</f>
        <v xml:space="preserve">1 thùng + 8 túi </v>
      </c>
      <c r="H12" s="343"/>
      <c r="J12" s="105" t="s">
        <v>112</v>
      </c>
      <c r="K12" s="244">
        <v>3200</v>
      </c>
      <c r="L12" s="278" t="str">
        <f t="shared" si="0"/>
        <v xml:space="preserve">1 thùng + 12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1200</v>
      </c>
      <c r="AP12" s="385" t="str">
        <f t="shared" ref="AP12" si="3">IF(INT(AO12/2000)&gt;=1,INT(AO12/2000)&amp;" thùng + "&amp;MOD(AO12,2000)/100&amp;" túi ",VALUE(AO12/100)&amp;"túi")</f>
        <v>12túi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342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600</v>
      </c>
      <c r="AP17" s="277" t="str">
        <f>IF(INT(AO17/200)&gt;=1,INT(AO17/200)&amp;" thùng + "&amp;MOD(AO17,200)/50&amp;" túi",VALUE(AO17/50)&amp;"túi")</f>
        <v>3 thùng + 0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200</v>
      </c>
      <c r="AF18" s="278" t="str">
        <f>IF(INT(AE18/1200)&gt;=1,INT(AE18/1200)&amp;" thùng + "&amp;MOD(AE18,1200)/100&amp;" túi ",VALUE(AE18/100)&amp;"túi")</f>
        <v>2túi</v>
      </c>
      <c r="AG18" s="292"/>
      <c r="AH18" s="244">
        <v>340</v>
      </c>
      <c r="AI18" s="277" t="str">
        <f>IF(INT(AH18/600)&gt;=1,INT(AH18/600)&amp;" thùng + "&amp;MOD(AH18,600)&amp;" cái ",VALUE(AH18/100)&amp;"túi")</f>
        <v>3.4túi</v>
      </c>
      <c r="AJ18" s="292"/>
      <c r="AK18" s="246"/>
      <c r="AL18" s="102"/>
      <c r="AM18" s="417"/>
      <c r="AN18" s="103" t="s">
        <v>81</v>
      </c>
      <c r="AO18" s="441">
        <v>200</v>
      </c>
      <c r="AP18" s="278" t="str">
        <f>IF(INT(AO18/1200)&gt;=1,INT(AO18/1200)&amp;" thùng + "&amp;MOD(AO18,1200)/100&amp;" túi ",VALUE(AO18/100)&amp;"túi")</f>
        <v>2túi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20100</v>
      </c>
      <c r="G19" s="277" t="str">
        <f>IF(INT(F19/4000)&gt;=1,INT(F19/4000)&amp;" thùng + "&amp;MOD(F19,4000)/100&amp;" túi ",VALUE(F19/100)&amp;"túi")</f>
        <v xml:space="preserve">5 thùng + 1 túi </v>
      </c>
      <c r="H19" s="346"/>
      <c r="J19" s="234" t="s">
        <v>113</v>
      </c>
      <c r="K19" s="242">
        <v>20300</v>
      </c>
      <c r="L19" s="277" t="str">
        <f>IF(INT(K19/4000)&gt;=1,INT(K19/4000)&amp;" thùng + "&amp;MOD(K19,4000)/100&amp;" túi ",VALUE(K19/100)&amp;"túi")</f>
        <v xml:space="preserve">5 thùng + 3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11000</v>
      </c>
      <c r="X19" s="277" t="str">
        <f>IF(INT(W19/4000)&gt;=1,INT(W19/4000)&amp;" thùng + "&amp;MOD(W19,4000)&amp;" cái ",VALUE(W19/100)&amp;"túi")</f>
        <v xml:space="preserve">2 thùng + 3000 cái </v>
      </c>
      <c r="Y19" s="291"/>
      <c r="Z19" s="244">
        <v>8900</v>
      </c>
      <c r="AA19" s="278" t="str">
        <f>IF(INT(Z19/4000)&gt;=1,INT(Z19/4000)&amp;" thùng + "&amp;MOD(Z19,4000)/100&amp;" túi ",VALUE(Z19/100)&amp;"túi")</f>
        <v xml:space="preserve">2 thùng + 9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400</v>
      </c>
      <c r="AS19" s="277" t="str">
        <f>IF(INT(AR19/4000)&gt;=1,INT(AR19/4000)&amp;" thùng + "&amp;MOD(AR19,4000)&amp;" cái ",VALUE(AR19/100)&amp;"túi")</f>
        <v>4túi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800</v>
      </c>
      <c r="L21" s="363" t="str">
        <f>IF(INT(K21/100)&gt;=1,INT(K21/100)&amp;" thùng + "&amp;MOD(K21,100)&amp;" cái ",VALUE(K21/100)&amp;"cái")</f>
        <v xml:space="preserve">8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400</v>
      </c>
      <c r="AA21" s="278" t="str">
        <f>IF(INT(Z21/400)&gt;=1,INT(Z21/400)&amp;" thùng + "&amp;MOD(Z21,400)/100&amp;" túi ",VALUE(Z21/100)&amp;"túi")</f>
        <v xml:space="preserve">1 thùng + 0 túi 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800</v>
      </c>
      <c r="L22" s="363" t="str">
        <f>IF(INT(K22/100)&gt;=1,INT(K22/100)&amp;" thùng + "&amp;MOD(K22,100)&amp;" cái ",VALUE(K22/100)&amp;"cái")</f>
        <v xml:space="preserve">8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1600</v>
      </c>
      <c r="U23" s="277" t="str">
        <f>IF(INT(T23/600)&gt;=1,INT(T23/600)&amp;" thùng + "&amp;MOD(T23,600)/100&amp;" túi ",VALUE(T23/100)&amp;"túi")</f>
        <v xml:space="preserve">2 thùng + 4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500</v>
      </c>
      <c r="AS23" s="277" t="str">
        <f>IF(INT(AR23/400)&gt;=1,INT(AR23/400)&amp;" thùng + "&amp;MOD(AR23,400)&amp;" cái ",VALUE(AR23)&amp;"cái")</f>
        <v xml:space="preserve">1 thùng + 100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1600</v>
      </c>
      <c r="L24" s="277" t="str">
        <f>IF(INT(K24/600)&gt;=1,INT(K24/600)&amp;" thùng + "&amp;MOD(K24,600)/100&amp;" túi ",VALUE(K24/100)&amp;"túi")</f>
        <v xml:space="preserve">2 thùng + 4 túi </v>
      </c>
      <c r="M24" s="291"/>
      <c r="N24" s="71"/>
      <c r="O24" s="246"/>
      <c r="P24" s="123"/>
      <c r="Q24" s="130"/>
      <c r="S24" s="103" t="s">
        <v>60</v>
      </c>
      <c r="T24" s="244">
        <v>1600</v>
      </c>
      <c r="U24" s="277" t="str">
        <f>IF(INT(T24/500)&gt;=1,INT(T24/500)&amp;" thùng + "&amp;MOD(T24,500)/100&amp;" túi ",VALUE(T24/100)&amp;"túi")</f>
        <v xml:space="preserve">3 thùng + 1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500</v>
      </c>
      <c r="AS24" s="277" t="str">
        <f>IF(INT(AR24/250)&gt;=1,INT(AR24/250)&amp;" thùng + "&amp;MOD(AR24,250)&amp;" cái ",VALUE(AR24)&amp;"cái")</f>
        <v xml:space="preserve">2 thùng + 0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/>
      <c r="AF25" s="277" t="str">
        <f>IF(INT(AE25/500)&gt;=1,INT(AE25/500)&amp;" thùng + "&amp;MOD(AE25,500)/100&amp;" túi ",VALUE(AE25/100)&amp;"túi")</f>
        <v>0túi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340</v>
      </c>
      <c r="U26" s="278" t="e">
        <f>IF(INT(T26/4000)&gt;=1,INT(T26/4000)&amp;" thùng + "&amp;MOD(T26,4000)/100&amp;" túi ",VALUE(T26/100)&amp;"túi")</f>
        <v>#VALUE!</v>
      </c>
      <c r="V26" s="291"/>
      <c r="W26" s="244">
        <v>1300</v>
      </c>
      <c r="X26" s="278" t="str">
        <f>IF(INT(W26/4000)&gt;=1,INT(W26/4000)&amp;" thùng + "&amp;MOD(W26,4000)/100&amp;" túi ",VALUE(W26/100)&amp;"túi")</f>
        <v>13túi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200</v>
      </c>
      <c r="AF26" s="288" t="str">
        <f>IF(INT(AE26/4000)&gt;=1,INT(AE26/4000)&amp;" thùng + "&amp;MOD(AE26,4000)/100&amp;" túi ",VALUE(AE26/100)&amp;"túi")</f>
        <v>2túi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200</v>
      </c>
      <c r="AS26" s="385" t="str">
        <f>IF(INT(AR26/4000)&gt;=1,INT(AR26/4000)&amp;" thùng + "&amp;MOD(AR26,4000)/100&amp;" túi ",VALUE(AR26/100)&amp;"túi")</f>
        <v>2túi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600</v>
      </c>
      <c r="L27" s="363" t="str">
        <f>IF(INT(K27/50)&gt;=1,INT(K27/50)&amp;" thùng + "&amp;MOD(K27,50)&amp;" cái ",VALUE(K27/50)&amp;"cái")</f>
        <v xml:space="preserve">12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800</v>
      </c>
      <c r="AA27" s="278" t="str">
        <f>IF(INT(Z27/400)&gt;=1,INT(Z27/400)&amp;" thùng + "&amp;MOD(Z27,400)/100&amp;" túi ",VALUE(Z27/100)&amp;"túi")</f>
        <v xml:space="preserve">2 thùng + 0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340</v>
      </c>
      <c r="AA28" s="278" t="str">
        <f>IF(INT(Z28/1000)&gt;=1,INT(Z28/1000)&amp;" thùng + "&amp;MOD(Z28,1000)/100&amp;" túi ",VALUE(Z28/100)&amp;"túi")</f>
        <v>3.4túi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300</v>
      </c>
      <c r="AS28" s="385" t="str">
        <f>IF(INT(AR28/1000)&gt;=1,INT(AR28/1000)&amp;" thùng + "&amp;MOD(AR28,1000)/100&amp;" túi ",VALUE(AR28/100)&amp;"túi")</f>
        <v>3túi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800</v>
      </c>
      <c r="G29" s="277" t="str">
        <f>IF(INT(F29/1500)&gt;=1,INT(F29/1500)&amp;" thùng + "&amp;MOD(F29,1500)/100&amp;" túi ",VALUE(F29/100)&amp;"túi")</f>
        <v>8túi</v>
      </c>
      <c r="H29" s="349"/>
      <c r="J29" s="235" t="s">
        <v>89</v>
      </c>
      <c r="K29" s="327">
        <v>300</v>
      </c>
      <c r="L29" s="363" t="str">
        <f>IF(INT(K29/20)&gt;=1,INT(K29/20)&amp;" thùng + "&amp;MOD(K29,20)&amp;" cái ",VALUE(K29/20)&amp;"cái")</f>
        <v xml:space="preserve">15 thùng + 0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400</v>
      </c>
      <c r="AA29" s="278" t="str">
        <f>IF(INT(Z29/200)&gt;=1,INT(Z29/200)&amp;" thùng + "&amp;MOD(Z29,200)/50&amp;" túi ",VALUE(Z29/50)&amp;"túi")</f>
        <v xml:space="preserve">2 thùng + 0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500</v>
      </c>
      <c r="C30" s="363" t="str">
        <f>IF(INT(B30/20)&gt;=1,INT(B30/20)&amp;" thùng + "&amp;MOD(B30,20)&amp;" cái ",VALUE(B30/20)&amp;"cái")</f>
        <v xml:space="preserve">25 thùng + 0 cái </v>
      </c>
      <c r="D30" s="291"/>
      <c r="E30" s="71"/>
      <c r="F30" s="326"/>
      <c r="G30" s="278"/>
      <c r="H30" s="350"/>
      <c r="J30" s="206" t="s">
        <v>53</v>
      </c>
      <c r="K30" s="326">
        <v>800</v>
      </c>
      <c r="L30" s="363" t="str">
        <f>IF(INT(K30/100)&gt;=1,INT(K30/100)&amp;" thùng + "&amp;MOD(K30,100)&amp;" cái ",VALUE(K30/100)&amp;"cái")</f>
        <v xml:space="preserve">8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400</v>
      </c>
      <c r="AP31" s="278" t="str">
        <f>IF(INT(AO31/100)&gt;=1,INT(AO31/100)&amp;" thùng + "&amp;MOD(AO31,100)/100&amp;" túi ",VALUE(AO31/100)&amp;"túi")</f>
        <v xml:space="preserve">4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3400</v>
      </c>
      <c r="C32" s="277" t="str">
        <f>IF(INT(B32/100)&gt;=1,INT(B32/100)&amp;" thùng + "&amp;MOD(B32,100)/100&amp;" cái ",VALUE(B32/100)&amp;"cái")</f>
        <v xml:space="preserve">34 thùng + 0 cái </v>
      </c>
      <c r="D32" s="291"/>
      <c r="E32" s="71"/>
      <c r="F32" s="244"/>
      <c r="G32" s="280"/>
      <c r="H32" s="352"/>
      <c r="J32" s="206" t="s">
        <v>19</v>
      </c>
      <c r="K32" s="326">
        <v>800</v>
      </c>
      <c r="L32" s="363" t="str">
        <f>IF(INT(K32/100)&gt;=1,INT(K32/100)&amp;" thùng + "&amp;MOD(K32,100)&amp;" cái ",VALUE(K32/100)&amp;"cái")</f>
        <v xml:space="preserve">8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309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600</v>
      </c>
      <c r="L34" s="277" t="str">
        <f>IF(INT(K34/1000)&gt;=1,INT(K34/1000)&amp;" thùng + "&amp;MOD(K34,1000)/100&amp;" túi ",VALUE(K34/100)&amp;"túi")</f>
        <v>6túi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800</v>
      </c>
      <c r="X34" s="278" t="str">
        <f>IF(INT(W34/1000)&gt;=1,INT(W34/1000)&amp;" thùng + "&amp;MOD(W34,1000)/100&amp;" túi ",VALUE(W34/100)&amp;"túi")</f>
        <v>8túi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800</v>
      </c>
      <c r="AA35" s="278" t="str">
        <f>IF(INT(Z35/4000)&gt;=1,INT(Z35/4000)&amp;" thùng + "&amp;MOD(Z35,4000)/100&amp;" túi ",VALUE(Z35/100)&amp;"túi")</f>
        <v>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800</v>
      </c>
      <c r="AA36" s="277" t="str">
        <f>IF(INT(Z36/50)&gt;=1,INT(Z36/50)&amp;" thùng + "&amp;MOD(Z36,50)&amp;" cái ",VALUE(Z36)&amp;"cái")</f>
        <v xml:space="preserve">16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800</v>
      </c>
      <c r="G37" s="278" t="str">
        <f>IF(INT(F37/200)&gt;=1,INT(F37/200)&amp;" thùng + "&amp;MOD(F37,200)&amp;" cái",VALUE(F37)&amp;"cái")</f>
        <v>4 thùng + 0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600</v>
      </c>
      <c r="AA37" s="277" t="str">
        <f>IF(INT(Z37/1000)&gt;=1,INT(Z37/1000)&amp;" thùng + "&amp;MOD(Z37,1000)/100&amp;" túi ",VALUE(Z37/100)&amp;"túi")</f>
        <v>6túi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1600</v>
      </c>
      <c r="AA38" s="278" t="str">
        <f>IF(INT(Z38/3000)&gt;=1,INT(Z38/3000)&amp;" thùng + "&amp;MOD(Z38,3000)/100&amp;" túi ",VALUE(Z38/100)&amp;"túi")</f>
        <v>16túi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400</v>
      </c>
      <c r="AA39" s="278" t="str">
        <f t="shared" ref="AA39" si="9">IF(INT(Z39/2000)&gt;=1,INT(Z39/2000)&amp;" thùng + "&amp;MOD(Z39,2000)/100&amp;" túi ",VALUE(Z39/100)&amp;"túi")</f>
        <v>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100</v>
      </c>
      <c r="AS47" s="278" t="str">
        <f>IF(INT(AR47/50)&gt;=1,INT(AR47/50)&amp;" thùng + "&amp;MOD(AR47,50)/10&amp;" túi ",VALUE(AR47/10)&amp;"túi")</f>
        <v xml:space="preserve">2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/>
      <c r="AF49" s="278" t="str">
        <f>IF(INT(AE49/200)&gt;=1,INT(AE49/200)&amp;" thùng + "&amp;MOD(AE49,200)/100&amp;" túi ",VALUE(AE49)&amp;"cái")</f>
        <v>0cái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110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110</v>
      </c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8" sqref="B18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597"/>
      <c r="G1" s="596"/>
      <c r="H1" s="978" t="s">
        <v>268</v>
      </c>
      <c r="I1" s="979"/>
      <c r="J1" s="979"/>
      <c r="K1" s="979"/>
      <c r="L1" s="980"/>
    </row>
    <row r="2" spans="1:12" ht="26.25" customHeight="1">
      <c r="A2" s="4" t="s">
        <v>339</v>
      </c>
      <c r="B2" s="141"/>
      <c r="C2" s="5"/>
      <c r="D2" s="1033" t="s">
        <v>260</v>
      </c>
      <c r="E2" s="1033"/>
      <c r="F2" s="1034"/>
      <c r="G2" s="604"/>
      <c r="H2" s="440" t="str">
        <f>A2</f>
        <v>Ngày 12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605">
        <v>4</v>
      </c>
      <c r="J3" s="605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605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598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900</v>
      </c>
      <c r="C32" s="278" t="str">
        <f>IF(INT(B32/200)&gt;=1,INT(B32/200)&amp;" thùng + "&amp;MOD(B32,200)&amp;" cái",VALUE(B32)&amp;"cái")</f>
        <v>4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C132"/>
  <sheetViews>
    <sheetView topLeftCell="R1" zoomScale="80" zoomScaleNormal="80" workbookViewId="0">
      <pane ySplit="7" topLeftCell="A15" activePane="bottomLeft" state="frozen"/>
      <selection activeCell="Z27" sqref="Z27"/>
      <selection pane="bottomLeft" activeCell="Z19" sqref="Z1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608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610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609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343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13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13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13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13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611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16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611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611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615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615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18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17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619"/>
      <c r="K7" s="74" t="s">
        <v>63</v>
      </c>
      <c r="L7" s="74" t="s">
        <v>217</v>
      </c>
      <c r="M7" s="370" t="s">
        <v>230</v>
      </c>
      <c r="N7" s="932"/>
      <c r="O7" s="607" t="s">
        <v>63</v>
      </c>
      <c r="P7" s="607" t="s">
        <v>217</v>
      </c>
      <c r="Q7" s="371" t="s">
        <v>230</v>
      </c>
      <c r="S7" s="939"/>
      <c r="T7" s="74" t="s">
        <v>259</v>
      </c>
      <c r="U7" s="74" t="s">
        <v>217</v>
      </c>
      <c r="V7" s="607" t="s">
        <v>230</v>
      </c>
      <c r="W7" s="74" t="s">
        <v>63</v>
      </c>
      <c r="X7" s="74" t="s">
        <v>217</v>
      </c>
      <c r="Y7" s="607" t="s">
        <v>230</v>
      </c>
      <c r="Z7" s="315" t="s">
        <v>63</v>
      </c>
      <c r="AA7" s="607" t="s">
        <v>217</v>
      </c>
      <c r="AB7" s="394" t="s">
        <v>230</v>
      </c>
      <c r="AC7" s="420"/>
      <c r="AD7" s="1032"/>
      <c r="AE7" s="383" t="s">
        <v>63</v>
      </c>
      <c r="AF7" s="607" t="s">
        <v>217</v>
      </c>
      <c r="AG7" s="607" t="s">
        <v>230</v>
      </c>
      <c r="AH7" s="372" t="s">
        <v>63</v>
      </c>
      <c r="AI7" s="607" t="s">
        <v>217</v>
      </c>
      <c r="AJ7" s="607" t="s">
        <v>230</v>
      </c>
      <c r="AK7" s="606" t="s">
        <v>63</v>
      </c>
      <c r="AL7" s="340" t="s">
        <v>217</v>
      </c>
      <c r="AM7" s="420"/>
      <c r="AN7" s="1021"/>
      <c r="AO7" s="372" t="s">
        <v>63</v>
      </c>
      <c r="AP7" s="607" t="s">
        <v>217</v>
      </c>
      <c r="AQ7" s="607" t="s">
        <v>230</v>
      </c>
      <c r="AR7" s="607" t="s">
        <v>63</v>
      </c>
      <c r="AS7" s="607" t="s">
        <v>217</v>
      </c>
      <c r="AT7" s="607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400</v>
      </c>
      <c r="L8" s="276" t="str">
        <f>IF(INT(K8/4000)&gt;=1,INT(K8/4000)&amp;" thùng + "&amp;MOD(K8,4000)/100&amp;" túi ",VALUE(K8/100)&amp;"túi")</f>
        <v>4túi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400</v>
      </c>
      <c r="L9" s="277" t="str">
        <f>IF(INT(K9/500)&gt;=1,INT(K9/500)&amp;" thùng + "&amp;MOD(K9,500)/100&amp;" túi ",VALUE(K9/100)&amp;"túi")</f>
        <v>4túi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800</v>
      </c>
      <c r="X9" s="278" t="str">
        <f>IF(INT(W9/4000)&gt;=1,INT(W9/4000)&amp;" thùng + "&amp;MOD(W9,4000)/100&amp;" túi ",VALUE(W9/100)&amp;"túi")</f>
        <v>8túi</v>
      </c>
      <c r="Y9" s="313"/>
      <c r="Z9" s="245">
        <v>600</v>
      </c>
      <c r="AA9" s="278" t="str">
        <f>IF(INT(Z9/4000)&gt;=1,INT(Z9/4000)&amp;" thùng + "&amp;MOD(Z9,4000)/100&amp;" túi ",VALUE(Z9/100)&amp;"túi")</f>
        <v>6túi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400</v>
      </c>
      <c r="L10" s="278" t="str">
        <f>IF(INT(K10/500)&gt;=1,INT(K10/500)&amp;" thùng + "&amp;MOD(K10,500)/100&amp;" túi ",VALUE(K10/100)&amp;"túi")</f>
        <v>4túi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600</v>
      </c>
      <c r="AA11" s="277" t="str">
        <f>IF(INT(Z11/3000)&gt;=1,INT(Z11/3000)&amp;" thùng + "&amp;MOD(Z11,3000)/100&amp;" túi ",VALUE(Z11/100)&amp;"túi")</f>
        <v>6túi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1000</v>
      </c>
      <c r="AI11" s="277" t="str">
        <f>IF(INT(AH11/2000)&gt;=1,INT(AH11/2000)&amp;" thùng + "&amp;MOD(AH11,2000)/100&amp;" túi ",VALUE(AH11/100)&amp;"túi")</f>
        <v>10túi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1000</v>
      </c>
      <c r="AP12" s="385" t="str">
        <f t="shared" ref="AP12" si="3">IF(INT(AO12/2000)&gt;=1,INT(AO12/2000)&amp;" thùng + "&amp;MOD(AO12,2000)/100&amp;" túi ",VALUE(AO12/100)&amp;"túi")</f>
        <v>10túi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/>
      <c r="AV12" s="385" t="str">
        <f t="shared" si="4"/>
        <v>0túi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800</v>
      </c>
      <c r="L13" s="278" t="str">
        <f>IF(INT(K13/600)&gt;=1,INT(K13/600)&amp;" thùng + "&amp;MOD(K13,600)/100&amp;" túi ",VALUE(K13/100)&amp;"túi")</f>
        <v xml:space="preserve">1 thùng + 2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162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800</v>
      </c>
      <c r="L14" s="278" t="str">
        <f>IF(INT(K14/400)&gt;=1,INT(K14/400)&amp;" thùng + "&amp;MOD(K14,400)/100&amp;" túi ",VALUE(K14/100)&amp;"túi")</f>
        <v xml:space="preserve">2 thùng + 0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162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800</v>
      </c>
      <c r="L15" s="278" t="str">
        <f>IF(INT(K15/600)&gt;=1,INT(K15/600)&amp;" thùng + "&amp;MOD(K15,600)/100&amp;" túi ",VALUE(K15/100)&amp;"túi")</f>
        <v xml:space="preserve">1 thùng + 2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500</v>
      </c>
      <c r="AI15" s="277" t="str">
        <f>IF(INT(AH15/600)&gt;=1,INT(AH15/600)&amp;" thùng + "&amp;MOD(AH15,600)/100&amp;" túi ",VALUE(AH15/100)&amp;"túi")</f>
        <v>5túi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800</v>
      </c>
      <c r="L16" s="278" t="str">
        <f>IF(INT(K16/400)&gt;=1,INT(K16/400)&amp;" thùng + "&amp;MOD(K16,400)/100&amp;" túi ",VALUE(K16/100)&amp;"túi")</f>
        <v xml:space="preserve">2 thùng + 0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162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800</v>
      </c>
      <c r="L17" s="277" t="str">
        <f>IF(INT(K17/200)&gt;=1,INT(K17/200)&amp;" thùng + "&amp;MOD(K17,200)/50&amp;" túi ",VALUE(K17/50)&amp;"túi")</f>
        <v xml:space="preserve">4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500</v>
      </c>
      <c r="AI17" s="277" t="str">
        <f>IF(INT(AH17/200)&gt;=1,INT(AH17/200)&amp;" thùng + "&amp;MOD(AH17,200)/50&amp;" túi ",VALUE(AH17/50)&amp;"túi")</f>
        <v xml:space="preserve">2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800</v>
      </c>
      <c r="L18" s="278" t="str">
        <f>IF(INT(K18/1200)&gt;=1,INT(K18/1200)&amp;" thùng + "&amp;MOD(K18,1200)/100&amp;" túi ",VALUE(K18/100)&amp;"túi")</f>
        <v>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18400</v>
      </c>
      <c r="L19" s="277" t="str">
        <f>IF(INT(K19/4000)&gt;=1,INT(K19/4000)&amp;" thùng + "&amp;MOD(K19,4000)/100&amp;" túi ",VALUE(K19/100)&amp;"túi")</f>
        <v xml:space="preserve">4 thùng + 24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9800</v>
      </c>
      <c r="X19" s="277" t="str">
        <f>IF(INT(W19/4000)&gt;=1,INT(W19/4000)&amp;" thùng + "&amp;MOD(W19,4000)&amp;" cái ",VALUE(W19/100)&amp;"túi")</f>
        <v xml:space="preserve">2 thùng + 1800 cái </v>
      </c>
      <c r="Y19" s="291"/>
      <c r="Z19" s="244">
        <v>8580</v>
      </c>
      <c r="AA19" s="278" t="str">
        <f>IF(INT(Z19/4000)&gt;=1,INT(Z19/4000)&amp;" thùng + "&amp;MOD(Z19,4000)/100&amp;" túi ",VALUE(Z19/100)&amp;"túi")</f>
        <v xml:space="preserve">2 thùng + 5.8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3500</v>
      </c>
      <c r="AI19" s="277" t="str">
        <f>IF(INT(AH19/4000)&gt;=1,INT(AH19/4000)&amp;" thùng + "&amp;MOD(AH19,4000)&amp;" cái ",VALUE(AH19/100)&amp;"túi")</f>
        <v>35túi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</v>
      </c>
      <c r="AS19" s="277" t="str">
        <f>IF(INT(AR19/4000)&gt;=1,INT(AR19/4000)&amp;" thùng + "&amp;MOD(AR19,4000)&amp;" cái ",VALUE(AR19/100)&amp;"túi")</f>
        <v>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800</v>
      </c>
      <c r="L20" s="278" t="str">
        <f>IF(INT(K20/2000)&gt;=1,INT(K20/2000)&amp;" thùng + "&amp;MOD(K20,2000)/100&amp;" túi ",VALUE(K20/100)&amp;"túi")</f>
        <v>8túi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1000</v>
      </c>
      <c r="AI20" s="278" t="str">
        <f>IF(INT(AH20/2000)&gt;=1,INT(AH20/2000)&amp;" thùng + "&amp;MOD(AH20,2000)/100&amp;" túi ",VALUE(AH20/100)&amp;"túi")</f>
        <v>10túi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400</v>
      </c>
      <c r="AA21" s="278" t="str">
        <f>IF(INT(Z21/400)&gt;=1,INT(Z21/400)&amp;" thùng + "&amp;MOD(Z21,400)/100&amp;" túi ",VALUE(Z21/100)&amp;"túi")</f>
        <v xml:space="preserve">1 thùng + 0 túi </v>
      </c>
      <c r="AB21" s="398"/>
      <c r="AC21" s="423"/>
      <c r="AD21" s="116" t="s">
        <v>56</v>
      </c>
      <c r="AE21" s="250"/>
      <c r="AF21" s="286"/>
      <c r="AG21" s="305"/>
      <c r="AH21" s="250">
        <v>1000</v>
      </c>
      <c r="AI21" s="277" t="str">
        <f>IF(INT(AH21/100)&gt;=1,INT(AH21/100)&amp;" thùng + "&amp;MOD(AH21,100)/100&amp;" túi ",VALUE(AH21/100)&amp;"túi")</f>
        <v xml:space="preserve">10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200</v>
      </c>
      <c r="X22" s="278" t="str">
        <f>IF(INT(W22/300)&gt;=1,INT(W22/300)&amp;" thùng + "&amp;MOD(W22,300)/100&amp;" túi ",VALUE(W22/100)&amp;"túi")</f>
        <v>2túi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1000</v>
      </c>
      <c r="AI22" s="278" t="str">
        <f>IF(INT(AH22/100)&gt;=1,INT(AH22/100)&amp;" thùng + "&amp;MOD(AH22,100)/100&amp;" túi ",VALUE(AH22/100)&amp;"túi")</f>
        <v xml:space="preserve">10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400</v>
      </c>
      <c r="AA23" s="277" t="str">
        <f>IF(INT(Z23/600)&gt;=1,INT(Z23/600)&amp;" thùng + "&amp;MOD(Z23,600)/100&amp;" túi ",VALUE(Z23/100)&amp;"túi")</f>
        <v>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600</v>
      </c>
      <c r="AS23" s="277" t="str">
        <f>IF(INT(AR23/400)&gt;=1,INT(AR23/400)&amp;" thùng + "&amp;MOD(AR23,400)&amp;" cái ",VALUE(AR23)&amp;"cái")</f>
        <v xml:space="preserve">1 thùng + 200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400</v>
      </c>
      <c r="AA24" s="277" t="str">
        <f>IF(INT(Z24/500)&gt;=1,INT(Z24/500)&amp;" thùng + "&amp;MOD(Z24,500)/100&amp;" túi ",VALUE(Z24/100)&amp;"túi")</f>
        <v>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600</v>
      </c>
      <c r="AS24" s="277" t="str">
        <f>IF(INT(AR24/250)&gt;=1,INT(AR24/250)&amp;" thùng + "&amp;MOD(AR24,250)&amp;" cái ",VALUE(AR24)&amp;"cái")</f>
        <v xml:space="preserve">2 thùng + 100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3030</v>
      </c>
      <c r="C26" s="277" t="str">
        <f>IF(INT(B26/4000)&gt;=1,INT(B26/4000)&amp;" thùng + "&amp;MOD(B26,4000)/100&amp;" túi ",VALUE(B26/100)&amp;"túi")</f>
        <v>30.3túi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1920</v>
      </c>
      <c r="U26" s="278" t="str">
        <f>IF(INT(T26/4000)&gt;=1,INT(T26/4000)&amp;" thùng + "&amp;MOD(T26,4000)/100&amp;" túi ",VALUE(T26/100)&amp;"túi")</f>
        <v>19.2túi</v>
      </c>
      <c r="V26" s="291"/>
      <c r="W26" s="244">
        <v>1730</v>
      </c>
      <c r="X26" s="278" t="str">
        <f>IF(INT(W26/4000)&gt;=1,INT(W26/4000)&amp;" thùng + "&amp;MOD(W26,4000)/100&amp;" túi ",VALUE(W26/100)&amp;"túi")</f>
        <v>17.3túi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400</v>
      </c>
      <c r="L27" s="363" t="str">
        <f>IF(INT(K27/50)&gt;=1,INT(K27/50)&amp;" thùng + "&amp;MOD(K27,50)&amp;" cái ",VALUE(K27/50)&amp;"cái")</f>
        <v xml:space="preserve">8 thùng + 0 cái </v>
      </c>
      <c r="M27" s="293"/>
      <c r="N27" s="81" t="s">
        <v>9</v>
      </c>
      <c r="O27" s="242">
        <v>1400</v>
      </c>
      <c r="P27" s="363" t="str">
        <f>IF(INT(O27/50)&gt;=1,INT(O27/50)&amp;" thùng + "&amp;MOD(O27,50)&amp;" cái ",VALUE(O27/50)&amp;"cái")</f>
        <v xml:space="preserve">28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800</v>
      </c>
      <c r="AA27" s="278" t="str">
        <f>IF(INT(Z27/400)&gt;=1,INT(Z27/400)&amp;" thùng + "&amp;MOD(Z27,400)/100&amp;" túi ",VALUE(Z27/100)&amp;"túi")</f>
        <v xml:space="preserve">2 thùng + 0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200</v>
      </c>
      <c r="AS27" s="278" t="str">
        <f t="shared" ref="AS27" si="6">IF(INT(AR27/2000)&gt;=1,INT(AR27/2000)&amp;" thùng + "&amp;MOD(AR27,2000)/100&amp;" túi ",VALUE(AR27/100)&amp;"túi")</f>
        <v>2túi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>
        <v>4138</v>
      </c>
      <c r="C28" s="277" t="str">
        <f>IF(INT(B28/3000)&gt;=1,INT(B28/3000)&amp;" thùng + "&amp;MOD(B28,3000)/100&amp;" túi ",VALUE(B28/100)&amp;"túi")</f>
        <v xml:space="preserve">1 thùng + 11.38 túi 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160</v>
      </c>
      <c r="AA28" s="278" t="str">
        <f>IF(INT(Z28/1000)&gt;=1,INT(Z28/1000)&amp;" thùng + "&amp;MOD(Z28,1000)/100&amp;" túi ",VALUE(Z28/100)&amp;"túi")</f>
        <v>1.6túi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200</v>
      </c>
      <c r="L29" s="363" t="str">
        <f>IF(INT(K29/20)&gt;=1,INT(K29/20)&amp;" thùng + "&amp;MOD(K29,20)&amp;" cái ",VALUE(K29/20)&amp;"cái")</f>
        <v xml:space="preserve">10 thùng + 0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400</v>
      </c>
      <c r="AA29" s="278" t="str">
        <f>IF(INT(Z29/200)&gt;=1,INT(Z29/200)&amp;" thùng + "&amp;MOD(Z29,200)/50&amp;" túi ",VALUE(Z29/50)&amp;"túi")</f>
        <v xml:space="preserve">2 thùng + 0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800</v>
      </c>
      <c r="AS30" s="278" t="str">
        <f t="shared" ref="AS30" si="7">IF(INT(AR30/2000)&gt;=1,INT(AR30/2000)&amp;" thùng + "&amp;MOD(AR30,2000)/100&amp;" túi ",VALUE(AR30/100)&amp;"túi")</f>
        <v>8túi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300</v>
      </c>
      <c r="AA31" s="363" t="str">
        <f>IF(INT(Z31/20)&gt;=1,INT(Z31/20)&amp;" thùng + "&amp;MOD(Z31,20)&amp;" cái ",VALUE(Z31/20)&amp;"cái")</f>
        <v xml:space="preserve">15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300</v>
      </c>
      <c r="AA32" s="278" t="str">
        <f>IF(INT(Z32/200)&gt;=1,INT(Z32/200)&amp;" thùng + "&amp;MOD(Z32,200)/20&amp;" túi ",VALUE(Z32)&amp;"cái")</f>
        <v xml:space="preserve">1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200</v>
      </c>
      <c r="L33" s="363" t="str">
        <f>IF(INT(K33/20)&gt;=1,INT(K33/20)&amp;" thùng + "&amp;MOD(K33,20)&amp;" cái ",VALUE(K33/20)&amp;"cái")</f>
        <v xml:space="preserve">10 thùng + 0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400</v>
      </c>
      <c r="L34" s="277" t="str">
        <f>IF(INT(K34/1000)&gt;=1,INT(K34/1000)&amp;" thùng + "&amp;MOD(K34,1000)/100&amp;" túi ",VALUE(K34/100)&amp;"túi")</f>
        <v>4túi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800</v>
      </c>
      <c r="X34" s="278" t="str">
        <f>IF(INT(W34/1000)&gt;=1,INT(W34/1000)&amp;" thùng + "&amp;MOD(W34,1000)/100&amp;" túi ",VALUE(W34/100)&amp;"túi")</f>
        <v>8túi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800</v>
      </c>
      <c r="AA35" s="278" t="str">
        <f>IF(INT(Z35/4000)&gt;=1,INT(Z35/4000)&amp;" thùng + "&amp;MOD(Z35,4000)/100&amp;" túi ",VALUE(Z35/100)&amp;"túi")</f>
        <v>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/>
      <c r="AV35" s="277" t="str">
        <f>IF(INT(AU35/400)&gt;=1,INT(AU35/400)&amp;" thùng + "&amp;MOD(AU35,400)/100&amp;" túi ",VALUE(AU35/100)&amp;"túi")</f>
        <v>0túi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800</v>
      </c>
      <c r="AA36" s="277" t="str">
        <f>IF(INT(Z36/50)&gt;=1,INT(Z36/50)&amp;" thùng + "&amp;MOD(Z36,50)&amp;" cái ",VALUE(Z36)&amp;"cái")</f>
        <v xml:space="preserve">16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/>
      <c r="AV36" s="278" t="str">
        <f t="shared" ref="AV36:AV37" si="8">IF(INT(AU36/400)&gt;=1,INT(AU36/400)&amp;" thùng + "&amp;MOD(AU36,400)/100&amp;" túi ",VALUE(AU36/100)&amp;"túi")</f>
        <v>0túi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600</v>
      </c>
      <c r="AA37" s="277" t="str">
        <f>IF(INT(Z37/1000)&gt;=1,INT(Z37/1000)&amp;" thùng + "&amp;MOD(Z37,1000)/100&amp;" túi ",VALUE(Z37/100)&amp;"túi")</f>
        <v>6túi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1600</v>
      </c>
      <c r="AA38" s="278" t="str">
        <f>IF(INT(Z38/3000)&gt;=1,INT(Z38/3000)&amp;" thùng + "&amp;MOD(Z38,3000)/100&amp;" túi ",VALUE(Z38/100)&amp;"túi")</f>
        <v>16túi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/>
      <c r="AV38" s="278" t="str">
        <f>IF(INT(AU38/3000)&gt;=1,INT(AU38/3000)&amp;" thùng + "&amp;MOD(AU38,3000)/100&amp;" túi ",VALUE(AU38/100)&amp;"túi")</f>
        <v>0túi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400</v>
      </c>
      <c r="AA39" s="278" t="str">
        <f t="shared" ref="AA39" si="9">IF(INT(Z39/2000)&gt;=1,INT(Z39/2000)&amp;" thùng + "&amp;MOD(Z39,2000)/100&amp;" túi ",VALUE(Z39/100)&amp;"túi")</f>
        <v>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/>
      <c r="AV39" s="277" t="str">
        <f>IF(INT(AU39/400)&gt;=1,INT(AU39/400)&amp;" thùng + "&amp;MOD(AU39,400)/100&amp;" túi ",VALUE(AU39/100)&amp;"túi")</f>
        <v>0túi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>
        <v>265</v>
      </c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/>
      <c r="AV40" s="278" t="str">
        <f>IF(INT(AU40/50)&gt;=1,INT(AU40/50)&amp;" thùng + "&amp;MOD(AU40,50)/50&amp;" túi ",VALUE(AU40/50)&amp;"túi")</f>
        <v>0túi</v>
      </c>
      <c r="AW40" s="297"/>
    </row>
    <row r="41" spans="1:133" s="88" customFormat="1" ht="14.25" customHeight="1">
      <c r="A41" s="105" t="s">
        <v>62</v>
      </c>
      <c r="B41" s="242">
        <v>265</v>
      </c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300</v>
      </c>
      <c r="AA41" s="277" t="str">
        <f>IF(INT(Z41/100)&gt;=1,INT(Z41/100)&amp;" thùng + "&amp;MOD(Z41,100)/50&amp;" túi ",VALUE(Z41)&amp;"cái")</f>
        <v xml:space="preserve">3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600</v>
      </c>
      <c r="AA42" s="278" t="str">
        <f>IF(INT(Z42/3000)&gt;=1,INT(Z42/3000)&amp;" thùng + "&amp;MOD(Z42,3000)/100&amp;" túi ",VALUE(Z42/100)&amp;"túi")</f>
        <v>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300</v>
      </c>
      <c r="AA43" s="277" t="str">
        <f>IF(INT(Z43/1000)&gt;=1,INT(Z43/1000)&amp;" thùng + "&amp;MOD(Z43,1000)/100&amp;" túi ",VALUE(Z43/100)&amp;"túi")</f>
        <v>3túi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300</v>
      </c>
      <c r="AA44" s="278" t="str">
        <f>IF(INT(Z44/4000)&gt;=1,INT(Z44/4000)&amp;" thùng + "&amp;MOD(Z44,4000)/100&amp;" túi ",VALUE(Z44/100)&amp;"túi")</f>
        <v>3túi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400</v>
      </c>
      <c r="X45" s="277" t="str">
        <f>IF(INT(W45/400)&gt;=1,INT(W45/400)&amp;" thùng + "&amp;MOD(W45,400)/100&amp;" túi ",VALUE(W45)&amp;"cái")</f>
        <v xml:space="preserve">1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400</v>
      </c>
      <c r="X46" s="278" t="str">
        <f>IF(INT(W46/100)&gt;=1,INT(W46/100)&amp;" thùng + "&amp;MOD(W46,100)/100&amp;" túi ",VALUE(W46)&amp;"cái")</f>
        <v xml:space="preserve">4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250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250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>
        <v>190</v>
      </c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43" sqref="B43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613"/>
      <c r="G1" s="612"/>
      <c r="H1" s="978" t="s">
        <v>268</v>
      </c>
      <c r="I1" s="979"/>
      <c r="J1" s="979"/>
      <c r="K1" s="979"/>
      <c r="L1" s="980"/>
    </row>
    <row r="2" spans="1:12" ht="26.25" customHeight="1">
      <c r="A2" s="4" t="s">
        <v>343</v>
      </c>
      <c r="B2" s="141"/>
      <c r="C2" s="5"/>
      <c r="D2" s="1033" t="s">
        <v>260</v>
      </c>
      <c r="E2" s="1033"/>
      <c r="F2" s="1034"/>
      <c r="G2" s="620"/>
      <c r="H2" s="440" t="str">
        <f>A2</f>
        <v>Ngày 13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621">
        <v>4</v>
      </c>
      <c r="J3" s="621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621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614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>
        <v>135</v>
      </c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>
        <v>135</v>
      </c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>
        <v>110</v>
      </c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C132"/>
  <sheetViews>
    <sheetView topLeftCell="R1" zoomScale="80" zoomScaleNormal="80" workbookViewId="0">
      <pane ySplit="7" topLeftCell="A8" activePane="bottomLeft" state="frozen"/>
      <selection activeCell="Z27" sqref="Z27"/>
      <selection pane="bottomLeft" activeCell="Z38" sqref="Z38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622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624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623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344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14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14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14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14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625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34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625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625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635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635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33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31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632"/>
      <c r="K7" s="74" t="s">
        <v>63</v>
      </c>
      <c r="L7" s="74" t="s">
        <v>217</v>
      </c>
      <c r="M7" s="370" t="s">
        <v>230</v>
      </c>
      <c r="N7" s="932"/>
      <c r="O7" s="627" t="s">
        <v>63</v>
      </c>
      <c r="P7" s="627" t="s">
        <v>217</v>
      </c>
      <c r="Q7" s="371" t="s">
        <v>230</v>
      </c>
      <c r="S7" s="939"/>
      <c r="T7" s="74" t="s">
        <v>259</v>
      </c>
      <c r="U7" s="74" t="s">
        <v>217</v>
      </c>
      <c r="V7" s="627" t="s">
        <v>230</v>
      </c>
      <c r="W7" s="74" t="s">
        <v>63</v>
      </c>
      <c r="X7" s="74" t="s">
        <v>217</v>
      </c>
      <c r="Y7" s="627" t="s">
        <v>230</v>
      </c>
      <c r="Z7" s="315" t="s">
        <v>63</v>
      </c>
      <c r="AA7" s="627" t="s">
        <v>217</v>
      </c>
      <c r="AB7" s="394" t="s">
        <v>230</v>
      </c>
      <c r="AC7" s="420"/>
      <c r="AD7" s="1032"/>
      <c r="AE7" s="383" t="s">
        <v>63</v>
      </c>
      <c r="AF7" s="627" t="s">
        <v>217</v>
      </c>
      <c r="AG7" s="627" t="s">
        <v>230</v>
      </c>
      <c r="AH7" s="372" t="s">
        <v>63</v>
      </c>
      <c r="AI7" s="627" t="s">
        <v>217</v>
      </c>
      <c r="AJ7" s="627" t="s">
        <v>230</v>
      </c>
      <c r="AK7" s="626" t="s">
        <v>63</v>
      </c>
      <c r="AL7" s="340" t="s">
        <v>217</v>
      </c>
      <c r="AM7" s="420"/>
      <c r="AN7" s="1021"/>
      <c r="AO7" s="372" t="s">
        <v>63</v>
      </c>
      <c r="AP7" s="627" t="s">
        <v>217</v>
      </c>
      <c r="AQ7" s="627" t="s">
        <v>230</v>
      </c>
      <c r="AR7" s="627" t="s">
        <v>63</v>
      </c>
      <c r="AS7" s="627" t="s">
        <v>217</v>
      </c>
      <c r="AT7" s="627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3420</v>
      </c>
      <c r="U8" s="277" t="str">
        <f>IF(INT(T8/400)&gt;=1,INT(T8/400)&amp;" thùng + "&amp;MOD(T8,400)/50&amp;" túi ",VALUE(T8/50)&amp;"cái")</f>
        <v xml:space="preserve">8 thùng + 4.4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701</v>
      </c>
      <c r="AA9" s="278" t="str">
        <f>IF(INT(Z9/4000)&gt;=1,INT(Z9/4000)&amp;" thùng + "&amp;MOD(Z9,4000)/100&amp;" túi ",VALUE(Z9/100)&amp;"túi")</f>
        <v>7.01túi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4778</v>
      </c>
      <c r="U10" s="277" t="str">
        <f>IF(INT(T10/3000)&gt;=1,INT(T10/3000)&amp;" thùng + "&amp;MOD(T10,3000)/100&amp;" túi ",VALUE(T10/100)&amp;"túi")</f>
        <v xml:space="preserve">1 thùng + 17.78 túi 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244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600</v>
      </c>
      <c r="AF10" s="278" t="str">
        <f>IF(INT(AE10/500)&gt;=1,INT(AE10/500)&amp;" thùng + "&amp;MOD(AE10,500)/100&amp;" túi ",VALUE(AE10/100)&amp;"túi")</f>
        <v xml:space="preserve">1 thùng + 1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400</v>
      </c>
      <c r="AA11" s="277" t="str">
        <f>IF(INT(Z11/3000)&gt;=1,INT(Z11/3000)&amp;" thùng + "&amp;MOD(Z11,3000)/100&amp;" túi ",VALUE(Z11/100)&amp;"túi")</f>
        <v>4túi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1000</v>
      </c>
      <c r="AP12" s="385" t="str">
        <f t="shared" ref="AP12" si="3">IF(INT(AO12/2000)&gt;=1,INT(AO12/2000)&amp;" thùng + "&amp;MOD(AO12,2000)/100&amp;" túi ",VALUE(AO12/100)&amp;"túi")</f>
        <v>10túi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200</v>
      </c>
      <c r="AV12" s="385" t="str">
        <f t="shared" si="4"/>
        <v>2túi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600</v>
      </c>
      <c r="AF18" s="278" t="str">
        <f>IF(INT(AE18/1200)&gt;=1,INT(AE18/1200)&amp;" thùng + "&amp;MOD(AE18,1200)/100&amp;" túi ",VALUE(AE18/100)&amp;"túi")</f>
        <v>6túi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19000</v>
      </c>
      <c r="G19" s="277" t="str">
        <f>IF(INT(F19/4000)&gt;=1,INT(F19/4000)&amp;" thùng + "&amp;MOD(F19,4000)/100&amp;" túi ",VALUE(F19/100)&amp;"túi")</f>
        <v xml:space="preserve">4 thùng + 30 túi </v>
      </c>
      <c r="H19" s="346"/>
      <c r="J19" s="234" t="s">
        <v>113</v>
      </c>
      <c r="K19" s="242">
        <v>20400</v>
      </c>
      <c r="L19" s="277" t="str">
        <f>IF(INT(K19/4000)&gt;=1,INT(K19/4000)&amp;" thùng + "&amp;MOD(K19,4000)/100&amp;" túi ",VALUE(K19/100)&amp;"túi")</f>
        <v xml:space="preserve">5 thùng + 4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11000</v>
      </c>
      <c r="X19" s="277" t="str">
        <f>IF(INT(W19/4000)&gt;=1,INT(W19/4000)&amp;" thùng + "&amp;MOD(W19,4000)&amp;" cái ",VALUE(W19/100)&amp;"túi")</f>
        <v xml:space="preserve">2 thùng + 3000 cái </v>
      </c>
      <c r="Y19" s="291"/>
      <c r="Z19" s="244">
        <v>6300</v>
      </c>
      <c r="AA19" s="278" t="str">
        <f>IF(INT(Z19/4000)&gt;=1,INT(Z19/4000)&amp;" thùng + "&amp;MOD(Z19,4000)/100&amp;" túi ",VALUE(Z19/100)&amp;"túi")</f>
        <v xml:space="preserve">1 thùng + 23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200</v>
      </c>
      <c r="AS19" s="277" t="str">
        <f>IF(INT(AR19/4000)&gt;=1,INT(AR19/4000)&amp;" thùng + "&amp;MOD(AR19,4000)&amp;" cái ",VALUE(AR19/100)&amp;"túi")</f>
        <v>2túi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500</v>
      </c>
      <c r="AA21" s="278" t="str">
        <f>IF(INT(Z21/400)&gt;=1,INT(Z21/400)&amp;" thùng + "&amp;MOD(Z21,400)/100&amp;" túi ",VALUE(Z21/100)&amp;"túi")</f>
        <v xml:space="preserve">1 thùng + 1 túi 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321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500</v>
      </c>
      <c r="AA23" s="277" t="str">
        <f>IF(INT(Z23/600)&gt;=1,INT(Z23/600)&amp;" thùng + "&amp;MOD(Z23,600)/100&amp;" túi ",VALUE(Z23/100)&amp;"túi")</f>
        <v>5túi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600</v>
      </c>
      <c r="AS23" s="277" t="str">
        <f>IF(INT(AR23/400)&gt;=1,INT(AR23/400)&amp;" thùng + "&amp;MOD(AR23,400)&amp;" cái ",VALUE(AR23)&amp;"cái")</f>
        <v xml:space="preserve">1 thùng + 200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800</v>
      </c>
      <c r="G24" s="277" t="str">
        <f>IF(INT(F24/1000)&gt;=1,INT(F24/1000)&amp;" thùng + "&amp;MOD(F24,1000)/100&amp;" túi ",VALUE(F24/100)&amp;"túi")</f>
        <v>8túi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500</v>
      </c>
      <c r="AA24" s="277" t="str">
        <f>IF(INT(Z24/500)&gt;=1,INT(Z24/500)&amp;" thùng + "&amp;MOD(Z24,500)/100&amp;" túi ",VALUE(Z24/100)&amp;"túi")</f>
        <v xml:space="preserve">1 thùng + 0 túi 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600</v>
      </c>
      <c r="AS24" s="277" t="str">
        <f>IF(INT(AR24/250)&gt;=1,INT(AR24/250)&amp;" thùng + "&amp;MOD(AR24,250)&amp;" cái ",VALUE(AR24)&amp;"cái")</f>
        <v xml:space="preserve">2 thùng + 100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600</v>
      </c>
      <c r="AF25" s="277" t="str">
        <f>IF(INT(AE25/500)&gt;=1,INT(AE25/500)&amp;" thùng + "&amp;MOD(AE25,500)/100&amp;" túi ",VALUE(AE25/100)&amp;"túi")</f>
        <v xml:space="preserve">1 thùng + 1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4760</v>
      </c>
      <c r="C26" s="277" t="str">
        <f>IF(INT(B26/4000)&gt;=1,INT(B26/4000)&amp;" thùng + "&amp;MOD(B26,4000)/100&amp;" túi ",VALUE(B26/100)&amp;"túi")</f>
        <v xml:space="preserve">1 thùng + 7.6 túi 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346</v>
      </c>
      <c r="U26" s="278" t="e">
        <f>IF(INT(T26/4000)&gt;=1,INT(T26/4000)&amp;" thùng + "&amp;MOD(T26,4000)/100&amp;" túi ",VALUE(T26/100)&amp;"túi")</f>
        <v>#VALUE!</v>
      </c>
      <c r="V26" s="291"/>
      <c r="W26" s="244">
        <v>3030</v>
      </c>
      <c r="X26" s="278" t="str">
        <f>IF(INT(W26/4000)&gt;=1,INT(W26/4000)&amp;" thùng + "&amp;MOD(W26,4000)/100&amp;" túi ",VALUE(W26/100)&amp;"túi")</f>
        <v>30.3túi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600</v>
      </c>
      <c r="AF26" s="288" t="str">
        <f>IF(INT(AE26/4000)&gt;=1,INT(AE26/4000)&amp;" thùng + "&amp;MOD(AE26,4000)/100&amp;" túi ",VALUE(AE26/100)&amp;"túi")</f>
        <v>6túi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800</v>
      </c>
      <c r="P27" s="363" t="str">
        <f>IF(INT(O27/50)&gt;=1,INT(O27/50)&amp;" thùng + "&amp;MOD(O27,50)&amp;" cái ",VALUE(O27/50)&amp;"cái")</f>
        <v xml:space="preserve">16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1000</v>
      </c>
      <c r="AA27" s="278" t="str">
        <f>IF(INT(Z27/400)&gt;=1,INT(Z27/400)&amp;" thùng + "&amp;MOD(Z27,400)/100&amp;" túi ",VALUE(Z27/100)&amp;"túi")</f>
        <v xml:space="preserve">2 thùng + 2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>
        <v>3350</v>
      </c>
      <c r="C28" s="277" t="str">
        <f>IF(INT(B28/3000)&gt;=1,INT(B28/3000)&amp;" thùng + "&amp;MOD(B28,3000)/100&amp;" túi ",VALUE(B28/100)&amp;"túi")</f>
        <v xml:space="preserve">1 thùng + 3.5 túi 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200</v>
      </c>
      <c r="AA28" s="278" t="str">
        <f>IF(INT(Z28/1000)&gt;=1,INT(Z28/1000)&amp;" thùng + "&amp;MOD(Z28,1000)/100&amp;" túi ",VALUE(Z28/100)&amp;"túi")</f>
        <v>2túi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100</v>
      </c>
      <c r="AS28" s="385" t="str">
        <f>IF(INT(AR28/1000)&gt;=1,INT(AR28/1000)&amp;" thùng + "&amp;MOD(AR28,1000)/100&amp;" túi ",VALUE(AR28/100)&amp;"túi")</f>
        <v>1túi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500</v>
      </c>
      <c r="AA29" s="278" t="str">
        <f>IF(INT(Z29/200)&gt;=1,INT(Z29/200)&amp;" thùng + "&amp;MOD(Z29,200)/50&amp;" túi ",VALUE(Z29/50)&amp;"túi")</f>
        <v xml:space="preserve">2 thùng + 2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200</v>
      </c>
      <c r="AA31" s="363" t="str">
        <f>IF(INT(Z31/20)&gt;=1,INT(Z31/20)&amp;" thùng + "&amp;MOD(Z31,20)&amp;" cái ",VALUE(Z31/20)&amp;"cái")</f>
        <v xml:space="preserve">10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3600</v>
      </c>
      <c r="C32" s="277" t="str">
        <f>IF(INT(B32/100)&gt;=1,INT(B32/100)&amp;" thùng + "&amp;MOD(B32,100)/100&amp;" cái ",VALUE(B32/100)&amp;"cái")</f>
        <v xml:space="preserve">36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200</v>
      </c>
      <c r="AA32" s="278" t="str">
        <f>IF(INT(Z32/200)&gt;=1,INT(Z32/200)&amp;" thùng + "&amp;MOD(Z32,200)/20&amp;" túi ",VALUE(Z32)&amp;"cái")</f>
        <v xml:space="preserve">1 thùng + 0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200</v>
      </c>
      <c r="AS33" s="278" t="str">
        <f>IF(INT(AR33/4000)&gt;=1,INT(AR33/4000)&amp;" thùng + "&amp;MOD(AR33,4000)/100&amp;" túi ",VALUE(AR33/100)&amp;"túi")</f>
        <v>2túi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700</v>
      </c>
      <c r="L34" s="277" t="str">
        <f>IF(INT(K34/1000)&gt;=1,INT(K34/1000)&amp;" thùng + "&amp;MOD(K34,1000)/100&amp;" túi ",VALUE(K34/100)&amp;"túi")</f>
        <v>7túi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/>
      <c r="X34" s="278" t="str">
        <f>IF(INT(W34/1000)&gt;=1,INT(W34/1000)&amp;" thùng + "&amp;MOD(W34,1000)/100&amp;" túi ",VALUE(W34/100)&amp;"túi")</f>
        <v>0túi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1000</v>
      </c>
      <c r="AA35" s="278" t="str">
        <f>IF(INT(Z35/4000)&gt;=1,INT(Z35/4000)&amp;" thùng + "&amp;MOD(Z35,4000)/100&amp;" túi ",VALUE(Z35/100)&amp;"túi")</f>
        <v>10túi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 t="s">
        <v>347</v>
      </c>
      <c r="AA36" s="277" t="e">
        <f>IF(INT(Z36/50)&gt;=1,INT(Z36/50)&amp;" thùng + "&amp;MOD(Z36,50)&amp;" cái ",VALUE(Z36)&amp;"cái")</f>
        <v>#VALUE!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600</v>
      </c>
      <c r="AA37" s="277" t="str">
        <f>IF(INT(Z37/1000)&gt;=1,INT(Z37/1000)&amp;" thùng + "&amp;MOD(Z37,1000)/100&amp;" túi ",VALUE(Z37/100)&amp;"túi")</f>
        <v>6túi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14700</v>
      </c>
      <c r="C38" s="277" t="str">
        <f>IF(INT(B38/4000)&gt;=1,INT(B38/4000)&amp;" thùng + "&amp;MOD(B38,4000)/100&amp;" túi ",VALUE(B38/100)&amp;"túi")</f>
        <v xml:space="preserve">3 thùng + 27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 t="s">
        <v>348</v>
      </c>
      <c r="AA38" s="278" t="e">
        <f>IF(INT(Z38/3000)&gt;=1,INT(Z38/3000)&amp;" thùng + "&amp;MOD(Z38,3000)/100&amp;" túi ",VALUE(Z38/100)&amp;"túi")</f>
        <v>#VALUE!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500</v>
      </c>
      <c r="AA39" s="278" t="str">
        <f t="shared" ref="AA39" si="9">IF(INT(Z39/2000)&gt;=1,INT(Z39/2000)&amp;" thùng + "&amp;MOD(Z39,2000)/100&amp;" túi ",VALUE(Z39/100)&amp;"túi")</f>
        <v>5túi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200</v>
      </c>
      <c r="AA41" s="277" t="str">
        <f>IF(INT(Z41/100)&gt;=1,INT(Z41/100)&amp;" thùng + "&amp;MOD(Z41,100)/50&amp;" túi ",VALUE(Z41)&amp;"cái")</f>
        <v xml:space="preserve">2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400</v>
      </c>
      <c r="AA42" s="278" t="str">
        <f>IF(INT(Z42/3000)&gt;=1,INT(Z42/3000)&amp;" thùng + "&amp;MOD(Z42,3000)/100&amp;" túi ",VALUE(Z42/100)&amp;"túi")</f>
        <v>4túi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200</v>
      </c>
      <c r="AA43" s="277" t="str">
        <f>IF(INT(Z43/1000)&gt;=1,INT(Z43/1000)&amp;" thùng + "&amp;MOD(Z43,1000)/100&amp;" túi ",VALUE(Z43/100)&amp;"túi")</f>
        <v>2túi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200</v>
      </c>
      <c r="AA44" s="278" t="str">
        <f>IF(INT(Z44/4000)&gt;=1,INT(Z44/4000)&amp;" thùng + "&amp;MOD(Z44,4000)/100&amp;" túi ",VALUE(Z44/100)&amp;"túi")</f>
        <v>2túi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509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600</v>
      </c>
      <c r="AF49" s="278" t="str">
        <f>IF(INT(AE49/200)&gt;=1,INT(AE49/200)&amp;" thùng + "&amp;MOD(AE49,200)/100&amp;" túi ",VALUE(AE49)&amp;"cái")</f>
        <v xml:space="preserve">3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345</v>
      </c>
      <c r="T50" s="316">
        <v>75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</v>
      </c>
      <c r="T51" s="317">
        <v>75</v>
      </c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100</v>
      </c>
      <c r="U52" s="1024" t="s">
        <v>60</v>
      </c>
      <c r="V52" s="1025"/>
      <c r="W52" s="325">
        <v>100</v>
      </c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100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400</v>
      </c>
      <c r="AS53" s="363" t="str">
        <f>IF(INT(AR53/100)&gt;=1,INT(AR53/100)&amp;" thùng + "&amp;MOD(AR53,100)&amp;" cái ",VALUE(AR53/100)&amp;"cái")</f>
        <v xml:space="preserve">4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>
        <v>75</v>
      </c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43" sqref="B43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629"/>
      <c r="G1" s="628"/>
      <c r="H1" s="978" t="s">
        <v>268</v>
      </c>
      <c r="I1" s="979"/>
      <c r="J1" s="979"/>
      <c r="K1" s="979"/>
      <c r="L1" s="980"/>
    </row>
    <row r="2" spans="1:12" ht="26.25" customHeight="1">
      <c r="A2" s="4" t="s">
        <v>344</v>
      </c>
      <c r="B2" s="141"/>
      <c r="C2" s="5"/>
      <c r="D2" s="1033" t="s">
        <v>260</v>
      </c>
      <c r="E2" s="1033"/>
      <c r="F2" s="1034"/>
      <c r="G2" s="636"/>
      <c r="H2" s="440" t="str">
        <f>A2</f>
        <v>Ngày 14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637">
        <v>4</v>
      </c>
      <c r="J3" s="637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637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630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 t="s">
        <v>349</v>
      </c>
      <c r="C33" s="278" t="e">
        <f>IF(INT(B33/4000)&gt;=1,INT(B33/4000)&amp;" thùng + "&amp;MOD(B33,4000)&amp;" cái ",VALUE(B33/100)&amp;"túi")</f>
        <v>#VALUE!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700</v>
      </c>
      <c r="C38" s="278" t="str">
        <f>IF(INT(B38/1000)&gt;=1,INT(B38/1000)&amp;" thùng + "&amp;MOD(B38,1000)/100&amp;" túi ",VALUE(B38/100)&amp;"túi")</f>
        <v>7túi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>
        <v>100</v>
      </c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>
        <v>100</v>
      </c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>
        <v>100</v>
      </c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C132"/>
  <sheetViews>
    <sheetView topLeftCell="AG1" zoomScale="80" zoomScaleNormal="80" workbookViewId="0">
      <pane ySplit="7" topLeftCell="A8" activePane="bottomLeft" state="frozen"/>
      <selection activeCell="Z27" sqref="Z27"/>
      <selection pane="bottomLeft" activeCell="AW14" sqref="AW14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638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640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639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350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16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16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16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16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641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50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641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641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651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651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49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47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648"/>
      <c r="K7" s="74" t="s">
        <v>63</v>
      </c>
      <c r="L7" s="74" t="s">
        <v>217</v>
      </c>
      <c r="M7" s="370" t="s">
        <v>230</v>
      </c>
      <c r="N7" s="932"/>
      <c r="O7" s="643" t="s">
        <v>63</v>
      </c>
      <c r="P7" s="643" t="s">
        <v>217</v>
      </c>
      <c r="Q7" s="371" t="s">
        <v>230</v>
      </c>
      <c r="S7" s="939"/>
      <c r="T7" s="74" t="s">
        <v>259</v>
      </c>
      <c r="U7" s="74" t="s">
        <v>217</v>
      </c>
      <c r="V7" s="643" t="s">
        <v>230</v>
      </c>
      <c r="W7" s="74" t="s">
        <v>63</v>
      </c>
      <c r="X7" s="74" t="s">
        <v>217</v>
      </c>
      <c r="Y7" s="643" t="s">
        <v>230</v>
      </c>
      <c r="Z7" s="315" t="s">
        <v>63</v>
      </c>
      <c r="AA7" s="643" t="s">
        <v>217</v>
      </c>
      <c r="AB7" s="394" t="s">
        <v>230</v>
      </c>
      <c r="AC7" s="420"/>
      <c r="AD7" s="1032"/>
      <c r="AE7" s="383" t="s">
        <v>63</v>
      </c>
      <c r="AF7" s="643" t="s">
        <v>217</v>
      </c>
      <c r="AG7" s="643" t="s">
        <v>230</v>
      </c>
      <c r="AH7" s="372" t="s">
        <v>63</v>
      </c>
      <c r="AI7" s="643" t="s">
        <v>217</v>
      </c>
      <c r="AJ7" s="643" t="s">
        <v>230</v>
      </c>
      <c r="AK7" s="642" t="s">
        <v>63</v>
      </c>
      <c r="AL7" s="340" t="s">
        <v>217</v>
      </c>
      <c r="AM7" s="420"/>
      <c r="AN7" s="1021"/>
      <c r="AO7" s="372" t="s">
        <v>63</v>
      </c>
      <c r="AP7" s="643" t="s">
        <v>217</v>
      </c>
      <c r="AQ7" s="643" t="s">
        <v>230</v>
      </c>
      <c r="AR7" s="643" t="s">
        <v>63</v>
      </c>
      <c r="AS7" s="643" t="s">
        <v>217</v>
      </c>
      <c r="AT7" s="643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670" t="s">
        <v>354</v>
      </c>
      <c r="AA8" s="373"/>
      <c r="AB8" s="395"/>
      <c r="AC8" s="421"/>
      <c r="AD8" s="411" t="s">
        <v>37</v>
      </c>
      <c r="AE8" s="243"/>
      <c r="AF8" s="304"/>
      <c r="AG8" s="304"/>
      <c r="AH8" s="243">
        <v>340</v>
      </c>
      <c r="AI8" s="276" t="str">
        <f>IF(INT(AH8/4000)&gt;=1,INT(AH8/4000)&amp;" thùng + "&amp;MOD(AH8,4000)/100&amp;" túi ",VALUE(AH8/100)&amp;"túi")</f>
        <v>3.4túi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696</v>
      </c>
      <c r="AA9" s="278" t="str">
        <f>IF(INT(Z9/4000)&gt;=1,INT(Z9/4000)&amp;" thùng + "&amp;MOD(Z9,4000)/100&amp;" túi ",VALUE(Z9/100)&amp;"túi")</f>
        <v>6.96túi</v>
      </c>
      <c r="AB9" s="397"/>
      <c r="AC9" s="422"/>
      <c r="AD9" s="112" t="s">
        <v>238</v>
      </c>
      <c r="AE9" s="242"/>
      <c r="AF9" s="279"/>
      <c r="AG9" s="293"/>
      <c r="AH9" s="242">
        <v>340</v>
      </c>
      <c r="AI9" s="277" t="str">
        <f>IF(INT(AH9/500)&gt;=1,INT(AH9/500)&amp;" thùng + "&amp;MOD(AH9,500)/100&amp;" túi ",VALUE(AH9/100)&amp;"túi")</f>
        <v>3.4túi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 t="s">
        <v>351</v>
      </c>
      <c r="AA10" s="278" t="e">
        <f>IF(INT(Z10/4000)&gt;=1,INT(Z10/4000)&amp;" thùng + "&amp;MOD(Z10,4000)&amp;" cái ",VALUE(Z10)&amp;"cái")</f>
        <v>#VALUE!</v>
      </c>
      <c r="AB10" s="397"/>
      <c r="AC10" s="422"/>
      <c r="AD10" s="115" t="s">
        <v>40</v>
      </c>
      <c r="AE10" s="244">
        <v>600</v>
      </c>
      <c r="AF10" s="278" t="str">
        <f>IF(INT(AE10/500)&gt;=1,INT(AE10/500)&amp;" thùng + "&amp;MOD(AE10,500)/100&amp;" túi ",VALUE(AE10/100)&amp;"túi")</f>
        <v xml:space="preserve">1 thùng + 1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1600</v>
      </c>
      <c r="L11" s="277" t="str">
        <f t="shared" ref="L11:L12" si="0">IF(INT(K11/2000)&gt;=1,INT(K11/2000)&amp;" thùng + "&amp;MOD(K11,2000)/100&amp;" túi ",VALUE(K11/100)&amp;"túi")</f>
        <v>16túi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400</v>
      </c>
      <c r="AA11" s="277" t="str">
        <f>IF(INT(Z11/3000)&gt;=1,INT(Z11/3000)&amp;" thùng + "&amp;MOD(Z11,3000)/100&amp;" túi ",VALUE(Z11/100)&amp;"túi")</f>
        <v>4túi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3000</v>
      </c>
      <c r="G12" s="277" t="str">
        <f>IF(INT(F12/2000)&gt;=1,INT(F12/2000)&amp;" thùng + "&amp;MOD(F12,2000)/100&amp;" túi ",VALUE(F12/100)&amp;"túi")</f>
        <v xml:space="preserve">1 thùng + 10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800</v>
      </c>
      <c r="AP12" s="385" t="str">
        <f t="shared" ref="AP12" si="3">IF(INT(AO12/2000)&gt;=1,INT(AO12/2000)&amp;" thùng + "&amp;MOD(AO12,2000)/100&amp;" túi ",VALUE(AO12/100)&amp;"túi")</f>
        <v>8túi</v>
      </c>
      <c r="AQ12" s="386"/>
      <c r="AR12" s="321" t="s">
        <v>353</v>
      </c>
      <c r="AS12" s="385" t="e">
        <f t="shared" ref="AS12:AV12" si="4">IF(INT(AR12/2000)&gt;=1,INT(AR12/2000)&amp;" thùng + "&amp;MOD(AR12,2000)/100&amp;" túi ",VALUE(AR12/100)&amp;"túi")</f>
        <v>#VALUE!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600</v>
      </c>
      <c r="AA13" s="277" t="str">
        <f>IF(INT(Z13/600)&gt;=1,INT(Z13/600)&amp;" thùng + "&amp;MOD(Z13,600)&amp;" cái ",VALUE(Z13)&amp;"cái")</f>
        <v xml:space="preserve">1 thùng + 0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600</v>
      </c>
      <c r="AA14" s="278" t="str">
        <f>IF(INT(Z14/400)&gt;=1,INT(Z14/400)&amp;" thùng + "&amp;MOD(Z14,400)&amp;" cái ",VALUE(Z14/100)&amp;"túi")</f>
        <v xml:space="preserve">1 thùng + 200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600</v>
      </c>
      <c r="AA15" s="277" t="str">
        <f>IF(INT(Z15/600)&gt;=1,INT(Z15/600)&amp;" thùng + "&amp;MOD(Z15,600)&amp;" cái ",VALUE(Z15)&amp;"cái")</f>
        <v xml:space="preserve">1 thùng + 0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600</v>
      </c>
      <c r="AA16" s="278" t="str">
        <f>IF(INT(Z16/400)&gt;=1,INT(Z16/400)&amp;" thùng + "&amp;MOD(Z16,400)&amp;" cái ",VALUE(Z16/100)&amp;"túi")</f>
        <v xml:space="preserve">1 thùng + 200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>
        <v>600</v>
      </c>
      <c r="AA17" s="277" t="str">
        <f>IF(INT(Z17/200)&gt;=1,INT(Z17/200)&amp;" thùng + "&amp;MOD(Z17,200)&amp;" cái ",VALUE(Z17/50)&amp;"túi")</f>
        <v xml:space="preserve">3 thùng + 0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700</v>
      </c>
      <c r="X18" s="278" t="str">
        <f>IF(INT(W18/200)&gt;=1,INT(W18/200)&amp;" thùng + "&amp;MOD(W18,200)/50&amp;" túi ",VALUE(W18/50)&amp;"túi")</f>
        <v xml:space="preserve">3 thùng + 2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600</v>
      </c>
      <c r="AF18" s="278" t="str">
        <f>IF(INT(AE18/1200)&gt;=1,INT(AE18/1200)&amp;" thùng + "&amp;MOD(AE18,1200)/100&amp;" túi ",VALUE(AE18/100)&amp;"túi")</f>
        <v>6túi</v>
      </c>
      <c r="AG18" s="292"/>
      <c r="AH18" s="244">
        <v>340</v>
      </c>
      <c r="AI18" s="277" t="str">
        <f>IF(INT(AH18/600)&gt;=1,INT(AH18/600)&amp;" thùng + "&amp;MOD(AH18,600)&amp;" cái ",VALUE(AH18/100)&amp;"túi")</f>
        <v>3.4túi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20000</v>
      </c>
      <c r="G19" s="277" t="str">
        <f>IF(INT(F19/4000)&gt;=1,INT(F19/4000)&amp;" thùng + "&amp;MOD(F19,4000)/100&amp;" túi ",VALUE(F19/100)&amp;"túi")</f>
        <v xml:space="preserve">5 thùng + 0 túi </v>
      </c>
      <c r="H19" s="346"/>
      <c r="J19" s="234" t="s">
        <v>113</v>
      </c>
      <c r="K19" s="242">
        <v>20400</v>
      </c>
      <c r="L19" s="277" t="str">
        <f>IF(INT(K19/4000)&gt;=1,INT(K19/4000)&amp;" thùng + "&amp;MOD(K19,4000)/100&amp;" túi ",VALUE(K19/100)&amp;"túi")</f>
        <v xml:space="preserve">5 thùng + 4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10900</v>
      </c>
      <c r="X19" s="277" t="str">
        <f>IF(INT(W19/4000)&gt;=1,INT(W19/4000)&amp;" thùng + "&amp;MOD(W19,4000)&amp;" cái ",VALUE(W19/100)&amp;"túi")</f>
        <v xml:space="preserve">2 thùng + 2900 cái </v>
      </c>
      <c r="Y19" s="291"/>
      <c r="Z19" s="244">
        <v>6806</v>
      </c>
      <c r="AA19" s="278" t="str">
        <f>IF(INT(Z19/4000)&gt;=1,INT(Z19/4000)&amp;" thùng + "&amp;MOD(Z19,4000)/100&amp;" túi ",VALUE(Z19/100)&amp;"túi")</f>
        <v xml:space="preserve">1 thùng + 28.06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</v>
      </c>
      <c r="AS19" s="277" t="str">
        <f>IF(INT(AR19/4000)&gt;=1,INT(AR19/4000)&amp;" thùng + "&amp;MOD(AR19,4000)&amp;" cái ",VALUE(AR19/100)&amp;"túi")</f>
        <v>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400</v>
      </c>
      <c r="AA21" s="278" t="str">
        <f>IF(INT(Z21/400)&gt;=1,INT(Z21/400)&amp;" thùng + "&amp;MOD(Z21,400)/100&amp;" túi ",VALUE(Z21/100)&amp;"túi")</f>
        <v xml:space="preserve">1 thùng + 0 túi 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>
        <v>101</v>
      </c>
      <c r="AA22" s="278" t="str">
        <f>IF(INT(Z22/300)&gt;=1,INT(Z22/300)&amp;" thùng + "&amp;MOD(Z22,300)/100&amp;" túi ",VALUE(Z22/100)&amp;"túi")</f>
        <v>1.01túi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501</v>
      </c>
      <c r="AA23" s="277" t="str">
        <f>IF(INT(Z23/600)&gt;=1,INT(Z23/600)&amp;" thùng + "&amp;MOD(Z23,600)/100&amp;" túi ",VALUE(Z23/100)&amp;"túi")</f>
        <v>5.01túi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 t="s">
        <v>356</v>
      </c>
      <c r="AS23" s="277" t="e">
        <f>IF(INT(AR23/400)&gt;=1,INT(AR23/400)&amp;" thùng + "&amp;MOD(AR23,400)&amp;" cái ",VALUE(AR23)&amp;"cái")</f>
        <v>#VALUE!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501</v>
      </c>
      <c r="AA24" s="277" t="str">
        <f>IF(INT(Z24/500)&gt;=1,INT(Z24/500)&amp;" thùng + "&amp;MOD(Z24,500)/100&amp;" túi ",VALUE(Z24/100)&amp;"túi")</f>
        <v xml:space="preserve">1 thùng + 0.01 túi 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 t="s">
        <v>356</v>
      </c>
      <c r="AS24" s="277" t="e">
        <f>IF(INT(AR24/250)&gt;=1,INT(AR24/250)&amp;" thùng + "&amp;MOD(AR24,250)&amp;" cái ",VALUE(AR24)&amp;"cái")</f>
        <v>#VALUE!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600</v>
      </c>
      <c r="AF25" s="277" t="str">
        <f>IF(INT(AE25/500)&gt;=1,INT(AE25/500)&amp;" thùng + "&amp;MOD(AE25,500)/100&amp;" túi ",VALUE(AE25/100)&amp;"túi")</f>
        <v xml:space="preserve">1 thùng + 1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352</v>
      </c>
      <c r="U26" s="278" t="e">
        <f>IF(INT(T26/4000)&gt;=1,INT(T26/4000)&amp;" thùng + "&amp;MOD(T26,4000)/100&amp;" túi ",VALUE(T26/100)&amp;"túi")</f>
        <v>#VALUE!</v>
      </c>
      <c r="V26" s="291"/>
      <c r="W26" s="244">
        <v>1730</v>
      </c>
      <c r="X26" s="278" t="str">
        <f>IF(INT(W26/4000)&gt;=1,INT(W26/4000)&amp;" thùng + "&amp;MOD(W26,4000)/100&amp;" túi ",VALUE(W26/100)&amp;"túi")</f>
        <v>17.3túi</v>
      </c>
      <c r="Y26" s="292"/>
      <c r="Z26" s="321" t="s">
        <v>354</v>
      </c>
      <c r="AA26" s="277" t="e">
        <f>IF(INT(Z26/3000)&gt;=1,INT(Z26/3000)&amp;" thùng + "&amp;MOD(Z26,3000)/100&amp;" túi ",VALUE(Z26/100)&amp;"túi")</f>
        <v>#VALUE!</v>
      </c>
      <c r="AB26" s="398"/>
      <c r="AC26" s="423"/>
      <c r="AD26" s="115" t="s">
        <v>73</v>
      </c>
      <c r="AE26" s="251">
        <v>600</v>
      </c>
      <c r="AF26" s="288" t="str">
        <f>IF(INT(AE26/4000)&gt;=1,INT(AE26/4000)&amp;" thùng + "&amp;MOD(AE26,4000)/100&amp;" túi ",VALUE(AE26/100)&amp;"túi")</f>
        <v>6túi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/>
      <c r="AS26" s="385" t="str">
        <f>IF(INT(AR26/4000)&gt;=1,INT(AR26/4000)&amp;" thùng + "&amp;MOD(AR26,4000)/100&amp;" túi ",VALUE(AR26/100)&amp;"túi")</f>
        <v>0túi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1500</v>
      </c>
      <c r="P27" s="363" t="str">
        <f>IF(INT(O27/50)&gt;=1,INT(O27/50)&amp;" thùng + "&amp;MOD(O27,50)&amp;" cái ",VALUE(O27/50)&amp;"cái")</f>
        <v xml:space="preserve">30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1002</v>
      </c>
      <c r="AA27" s="278" t="str">
        <f>IF(INT(Z27/400)&gt;=1,INT(Z27/400)&amp;" thùng + "&amp;MOD(Z27,400)/100&amp;" túi ",VALUE(Z27/100)&amp;"túi")</f>
        <v xml:space="preserve">2 thùng + 2.02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200</v>
      </c>
      <c r="AS27" s="278" t="str">
        <f t="shared" ref="AS27" si="6">IF(INT(AR27/2000)&gt;=1,INT(AR27/2000)&amp;" thùng + "&amp;MOD(AR27,2000)/100&amp;" túi ",VALUE(AR27/100)&amp;"túi")</f>
        <v>2túi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100</v>
      </c>
      <c r="AA28" s="278" t="str">
        <f>IF(INT(Z28/1000)&gt;=1,INT(Z28/1000)&amp;" thùng + "&amp;MOD(Z28,1000)/100&amp;" túi ",VALUE(Z28/100)&amp;"túi")</f>
        <v>1túi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400</v>
      </c>
      <c r="AA29" s="278" t="str">
        <f>IF(INT(Z29/200)&gt;=1,INT(Z29/200)&amp;" thùng + "&amp;MOD(Z29,200)/50&amp;" túi ",VALUE(Z29/50)&amp;"túi")</f>
        <v xml:space="preserve">2 thùng + 0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500</v>
      </c>
      <c r="C30" s="363" t="str">
        <f>IF(INT(B30/20)&gt;=1,INT(B30/20)&amp;" thùng + "&amp;MOD(B30,20)&amp;" cái ",VALUE(B30/20)&amp;"cái")</f>
        <v xml:space="preserve">25 thùng + 0 cái </v>
      </c>
      <c r="D30" s="291"/>
      <c r="E30" s="71"/>
      <c r="F30" s="326"/>
      <c r="G30" s="278"/>
      <c r="H30" s="350"/>
      <c r="J30" s="206" t="s">
        <v>53</v>
      </c>
      <c r="K30" s="326">
        <v>1000</v>
      </c>
      <c r="L30" s="363" t="str">
        <f>IF(INT(K30/100)&gt;=1,INT(K30/100)&amp;" thùng + "&amp;MOD(K30,100)&amp;" cái ",VALUE(K30/100)&amp;"cái")</f>
        <v xml:space="preserve">10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800</v>
      </c>
      <c r="AS30" s="278" t="str">
        <f t="shared" ref="AS30" si="7">IF(INT(AR30/2000)&gt;=1,INT(AR30/2000)&amp;" thùng + "&amp;MOD(AR30,2000)/100&amp;" túi ",VALUE(AR30/100)&amp;"túi")</f>
        <v>8túi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200</v>
      </c>
      <c r="AA31" s="363" t="str">
        <f>IF(INT(Z31/20)&gt;=1,INT(Z31/20)&amp;" thùng + "&amp;MOD(Z31,20)&amp;" cái ",VALUE(Z31/20)&amp;"cái")</f>
        <v xml:space="preserve">10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3400</v>
      </c>
      <c r="C32" s="277" t="str">
        <f>IF(INT(B32/100)&gt;=1,INT(B32/100)&amp;" thùng + "&amp;MOD(B32,100)/100&amp;" cái ",VALUE(B32/100)&amp;"cái")</f>
        <v xml:space="preserve">34 thùng + 0 cái </v>
      </c>
      <c r="D32" s="291"/>
      <c r="E32" s="71"/>
      <c r="F32" s="244"/>
      <c r="G32" s="280"/>
      <c r="H32" s="352"/>
      <c r="J32" s="206" t="s">
        <v>19</v>
      </c>
      <c r="K32" s="326">
        <v>1000</v>
      </c>
      <c r="L32" s="363" t="str">
        <f>IF(INT(K32/100)&gt;=1,INT(K32/100)&amp;" thùng + "&amp;MOD(K32,100)&amp;" cái ",VALUE(K32/100)&amp;"cái")</f>
        <v xml:space="preserve">10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200</v>
      </c>
      <c r="AA32" s="278" t="str">
        <f>IF(INT(Z32/200)&gt;=1,INT(Z32/200)&amp;" thùng + "&amp;MOD(Z32,200)/20&amp;" túi ",VALUE(Z32)&amp;"cái")</f>
        <v xml:space="preserve">1 thùng + 0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700</v>
      </c>
      <c r="G34" s="363" t="str">
        <f>IF(INT(F34/25)&gt;=1,INT(F34/25)&amp;" thùng + "&amp;MOD(F34,25)&amp;" cái ",VALUE(F34/25)&amp;"cái")</f>
        <v xml:space="preserve">28 thùng + 0 cái </v>
      </c>
      <c r="H34" s="353"/>
      <c r="J34" s="206" t="s">
        <v>79</v>
      </c>
      <c r="K34" s="326">
        <v>700</v>
      </c>
      <c r="L34" s="277" t="str">
        <f>IF(INT(K34/1000)&gt;=1,INT(K34/1000)&amp;" thùng + "&amp;MOD(K34,1000)/100&amp;" túi ",VALUE(K34/100)&amp;"túi")</f>
        <v>7túi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700</v>
      </c>
      <c r="X34" s="278" t="str">
        <f>IF(INT(W34/1000)&gt;=1,INT(W34/1000)&amp;" thùng + "&amp;MOD(W34,1000)/100&amp;" túi ",VALUE(W34/100)&amp;"túi")</f>
        <v>7túi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800</v>
      </c>
      <c r="AA35" s="278" t="str">
        <f>IF(INT(Z35/4000)&gt;=1,INT(Z35/4000)&amp;" thùng + "&amp;MOD(Z35,4000)/100&amp;" túi ",VALUE(Z35/100)&amp;"túi")</f>
        <v>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1400</v>
      </c>
      <c r="C36" s="277" t="str">
        <f>IF(INT(B36/500)&gt;=1,INT(B36/500)&amp;" thùng + "&amp;MOD(B36,500)/100&amp;" túi ",VALUE(B36/100)&amp;"túi")</f>
        <v xml:space="preserve">2 thùng + 4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800</v>
      </c>
      <c r="AA36" s="277" t="str">
        <f>IF(INT(Z36/50)&gt;=1,INT(Z36/50)&amp;" thùng + "&amp;MOD(Z36,50)&amp;" cái ",VALUE(Z36)&amp;"cái")</f>
        <v xml:space="preserve">16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530</v>
      </c>
      <c r="AA37" s="277" t="str">
        <f>IF(INT(Z37/1000)&gt;=1,INT(Z37/1000)&amp;" thùng + "&amp;MOD(Z37,1000)/100&amp;" túi ",VALUE(Z37/100)&amp;"túi")</f>
        <v>5.3túi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1600</v>
      </c>
      <c r="AA38" s="278" t="str">
        <f>IF(INT(Z38/3000)&gt;=1,INT(Z38/3000)&amp;" thùng + "&amp;MOD(Z38,3000)/100&amp;" túi ",VALUE(Z38/100)&amp;"túi")</f>
        <v>16túi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400</v>
      </c>
      <c r="AA39" s="278" t="str">
        <f t="shared" ref="AA39" si="9">IF(INT(Z39/2000)&gt;=1,INT(Z39/2000)&amp;" thùng + "&amp;MOD(Z39,2000)/100&amp;" túi ",VALUE(Z39/100)&amp;"túi")</f>
        <v>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200</v>
      </c>
      <c r="AA41" s="277" t="str">
        <f>IF(INT(Z41/100)&gt;=1,INT(Z41/100)&amp;" thùng + "&amp;MOD(Z41,100)/50&amp;" túi ",VALUE(Z41)&amp;"cái")</f>
        <v xml:space="preserve">2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400</v>
      </c>
      <c r="AA42" s="278" t="str">
        <f>IF(INT(Z42/3000)&gt;=1,INT(Z42/3000)&amp;" thùng + "&amp;MOD(Z42,3000)/100&amp;" túi ",VALUE(Z42/100)&amp;"túi")</f>
        <v>4túi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200</v>
      </c>
      <c r="AA43" s="277" t="str">
        <f>IF(INT(Z43/1000)&gt;=1,INT(Z43/1000)&amp;" thùng + "&amp;MOD(Z43,1000)/100&amp;" túi ",VALUE(Z43/100)&amp;"túi")</f>
        <v>2túi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200</v>
      </c>
      <c r="AA44" s="278" t="str">
        <f>IF(INT(Z44/4000)&gt;=1,INT(Z44/4000)&amp;" thùng + "&amp;MOD(Z44,4000)/100&amp;" túi ",VALUE(Z44/100)&amp;"túi")</f>
        <v>2túi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>
        <v>202</v>
      </c>
      <c r="AA46" s="278" t="str">
        <f>IF(INT(Z46/100)&gt;=1,INT(Z46/100)&amp;" thùng + "&amp;MOD(Z46,100)&amp;" cái ",VALUE(Z46)&amp;"cái")</f>
        <v xml:space="preserve">2 thùng + 2 cái 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1400</v>
      </c>
      <c r="X48" s="278" t="str">
        <f>IF(INT(W48/100)&gt;=1,INT(W48/100)&amp;" thùng + "&amp;MOD(W48,100)/100&amp;" túi ",VALUE(W48)&amp;"cái")</f>
        <v xml:space="preserve">14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700</v>
      </c>
      <c r="X49" s="277" t="str">
        <f>IF(INT(W49/600)&gt;=1,INT(W49/600)&amp;" thùng + "&amp;MOD(W49,600)/20&amp;" túi ",VALUE(W49)&amp;"cái")</f>
        <v xml:space="preserve">1 thùng + 5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600</v>
      </c>
      <c r="AF49" s="278" t="str">
        <f>IF(INT(AE49/200)&gt;=1,INT(AE49/200)&amp;" thùng + "&amp;MOD(AE49,200)/100&amp;" túi ",VALUE(AE49)&amp;"cái")</f>
        <v xml:space="preserve">3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110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110</v>
      </c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38</v>
      </c>
      <c r="T52" s="316">
        <v>5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43" sqref="B43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645"/>
      <c r="G1" s="644"/>
      <c r="H1" s="978" t="s">
        <v>268</v>
      </c>
      <c r="I1" s="979"/>
      <c r="J1" s="979"/>
      <c r="K1" s="979"/>
      <c r="L1" s="980"/>
    </row>
    <row r="2" spans="1:12" ht="26.25" customHeight="1">
      <c r="A2" s="4" t="s">
        <v>350</v>
      </c>
      <c r="B2" s="141"/>
      <c r="C2" s="5"/>
      <c r="D2" s="1033" t="s">
        <v>260</v>
      </c>
      <c r="E2" s="1033"/>
      <c r="F2" s="1034"/>
      <c r="G2" s="652"/>
      <c r="H2" s="440" t="str">
        <f>A2</f>
        <v>Ngày 16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653">
        <v>4</v>
      </c>
      <c r="J3" s="653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653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646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41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00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166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29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1000</v>
      </c>
      <c r="C34" s="278" t="str">
        <f>IF(INT(B34/1000)&gt;=1,INT(B34/1000)&amp;" thùng + "&amp;MOD(B34,1000)&amp;" cái",VALUE(B34)&amp;"cái")</f>
        <v>1 thùng + 0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2000</v>
      </c>
      <c r="C35" s="278" t="str">
        <f>IF(INT(B35/500)&gt;=1,INT(B35/500)&amp;" thùng + "&amp;MOD(B35,500)/100&amp;" túi",VALUE(B35/100)&amp;"túi")</f>
        <v>4 thùng + 0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1000</v>
      </c>
      <c r="C37" s="278" t="str">
        <f>IF(INT(B37/400)&gt;=1,INT(B37/400)&amp;" thùng + "&amp;MOD(B37,400)/100&amp;" túi ",VALUE(B37/100)&amp;"túi")</f>
        <v xml:space="preserve">2 thùng + 2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400</v>
      </c>
      <c r="C38" s="278" t="str">
        <f>IF(INT(B38/1000)&gt;=1,INT(B38/1000)&amp;" thùng + "&amp;MOD(B38,1000)/100&amp;" túi ",VALUE(B38/100)&amp;"túi")</f>
        <v>4túi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>
        <v>100</v>
      </c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>
        <v>100</v>
      </c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>
        <v>100</v>
      </c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C132"/>
  <sheetViews>
    <sheetView zoomScale="80" zoomScaleNormal="80" workbookViewId="0">
      <pane ySplit="7" topLeftCell="A8" activePane="bottomLeft" state="frozen"/>
      <selection activeCell="Z27" sqref="Z27"/>
      <selection pane="bottomLeft" activeCell="A22" sqref="A22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654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656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655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355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17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17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17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17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657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66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657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657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667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667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65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63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664"/>
      <c r="K7" s="74" t="s">
        <v>63</v>
      </c>
      <c r="L7" s="74" t="s">
        <v>217</v>
      </c>
      <c r="M7" s="370" t="s">
        <v>230</v>
      </c>
      <c r="N7" s="932"/>
      <c r="O7" s="659" t="s">
        <v>63</v>
      </c>
      <c r="P7" s="659" t="s">
        <v>217</v>
      </c>
      <c r="Q7" s="371" t="s">
        <v>230</v>
      </c>
      <c r="S7" s="939"/>
      <c r="T7" s="74" t="s">
        <v>259</v>
      </c>
      <c r="U7" s="74" t="s">
        <v>217</v>
      </c>
      <c r="V7" s="659" t="s">
        <v>230</v>
      </c>
      <c r="W7" s="74" t="s">
        <v>63</v>
      </c>
      <c r="X7" s="74" t="s">
        <v>217</v>
      </c>
      <c r="Y7" s="659" t="s">
        <v>230</v>
      </c>
      <c r="Z7" s="315" t="s">
        <v>63</v>
      </c>
      <c r="AA7" s="659" t="s">
        <v>217</v>
      </c>
      <c r="AB7" s="394" t="s">
        <v>230</v>
      </c>
      <c r="AC7" s="420"/>
      <c r="AD7" s="1032"/>
      <c r="AE7" s="383" t="s">
        <v>63</v>
      </c>
      <c r="AF7" s="659" t="s">
        <v>217</v>
      </c>
      <c r="AG7" s="659" t="s">
        <v>230</v>
      </c>
      <c r="AH7" s="372" t="s">
        <v>63</v>
      </c>
      <c r="AI7" s="659" t="s">
        <v>217</v>
      </c>
      <c r="AJ7" s="659" t="s">
        <v>230</v>
      </c>
      <c r="AK7" s="658" t="s">
        <v>63</v>
      </c>
      <c r="AL7" s="340" t="s">
        <v>217</v>
      </c>
      <c r="AM7" s="420"/>
      <c r="AN7" s="1021"/>
      <c r="AO7" s="372" t="s">
        <v>63</v>
      </c>
      <c r="AP7" s="659" t="s">
        <v>217</v>
      </c>
      <c r="AQ7" s="659" t="s">
        <v>230</v>
      </c>
      <c r="AR7" s="659" t="s">
        <v>63</v>
      </c>
      <c r="AS7" s="659" t="s">
        <v>217</v>
      </c>
      <c r="AT7" s="659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900</v>
      </c>
      <c r="X9" s="278" t="str">
        <f>IF(INT(W9/4000)&gt;=1,INT(W9/4000)&amp;" thùng + "&amp;MOD(W9,4000)/100&amp;" túi ",VALUE(W9/100)&amp;"túi")</f>
        <v>9túi</v>
      </c>
      <c r="Y9" s="313"/>
      <c r="Z9" s="245" t="s">
        <v>365</v>
      </c>
      <c r="AA9" s="278" t="e">
        <f>IF(INT(Z9/4000)&gt;=1,INT(Z9/4000)&amp;" thùng + "&amp;MOD(Z9,4000)/100&amp;" túi ",VALUE(Z9/100)&amp;"túi")</f>
        <v>#VALUE!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600</v>
      </c>
      <c r="AF10" s="278" t="str">
        <f>IF(INT(AE10/500)&gt;=1,INT(AE10/500)&amp;" thùng + "&amp;MOD(AE10,500)/100&amp;" túi ",VALUE(AE10/100)&amp;"túi")</f>
        <v xml:space="preserve">1 thùng + 1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400</v>
      </c>
      <c r="AA11" s="277" t="str">
        <f>IF(INT(Z11/3000)&gt;=1,INT(Z11/3000)&amp;" thùng + "&amp;MOD(Z11,3000)/100&amp;" túi ",VALUE(Z11/100)&amp;"túi")</f>
        <v>4túi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2600</v>
      </c>
      <c r="X12" s="278" t="str">
        <f t="shared" ref="X12" si="1">IF(INT(W12/2000)&gt;=1,INT(W12/2000)&amp;" thùng + "&amp;MOD(W12,2000)/100&amp;" túi ",VALUE(W12/100)&amp;"túi")</f>
        <v xml:space="preserve">1 thùng + 6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200</v>
      </c>
      <c r="AV12" s="385" t="str">
        <f t="shared" si="4"/>
        <v>2túi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800</v>
      </c>
      <c r="L13" s="278" t="str">
        <f>IF(INT(K13/600)&gt;=1,INT(K13/600)&amp;" thùng + "&amp;MOD(K13,600)/100&amp;" túi ",VALUE(K13/100)&amp;"túi")</f>
        <v xml:space="preserve">1 thùng + 2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1300</v>
      </c>
      <c r="X13" s="277" t="str">
        <f>IF(INT(W13/600)&gt;=1,INT(W13/600)&amp;" thùng + "&amp;MOD(W13,600)/100&amp;" túi ",VALUE(W13/100)&amp;"túi")</f>
        <v xml:space="preserve">2 thùng + 1 túi </v>
      </c>
      <c r="Y13" s="291"/>
      <c r="Z13" s="244" t="s">
        <v>366</v>
      </c>
      <c r="AA13" s="277" t="e">
        <f>IF(INT(Z13/600)&gt;=1,INT(Z13/600)&amp;" thùng + "&amp;MOD(Z13,600)&amp;" cái ",VALUE(Z13)&amp;"cái")</f>
        <v>#VALUE!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800</v>
      </c>
      <c r="L14" s="278" t="str">
        <f>IF(INT(K14/400)&gt;=1,INT(K14/400)&amp;" thùng + "&amp;MOD(K14,400)/100&amp;" túi ",VALUE(K14/100)&amp;"túi")</f>
        <v xml:space="preserve">2 thùng + 0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1300</v>
      </c>
      <c r="X14" s="278" t="str">
        <f>IF(INT(W14/400)&gt;=1,INT(W14/400)&amp;" thùng + "&amp;MOD(W14,400)/100&amp;" túi ",VALUE(W14/100)&amp;"túi")</f>
        <v xml:space="preserve">3 thùng + 1 túi </v>
      </c>
      <c r="Y14" s="292"/>
      <c r="Z14" s="244" t="s">
        <v>366</v>
      </c>
      <c r="AA14" s="278" t="e">
        <f>IF(INT(Z14/400)&gt;=1,INT(Z14/400)&amp;" thùng + "&amp;MOD(Z14,400)&amp;" cái ",VALUE(Z14/100)&amp;"túi")</f>
        <v>#VALUE!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800</v>
      </c>
      <c r="L15" s="278" t="str">
        <f>IF(INT(K15/600)&gt;=1,INT(K15/600)&amp;" thùng + "&amp;MOD(K15,600)/100&amp;" túi ",VALUE(K15/100)&amp;"túi")</f>
        <v xml:space="preserve">1 thùng + 2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1300</v>
      </c>
      <c r="X15" s="277" t="str">
        <f>IF(INT(W15/600)&gt;=1,INT(W15/600)&amp;" thùng + "&amp;MOD(W15,600)/100&amp;" túi ",VALUE(W15/100)&amp;"túi")</f>
        <v xml:space="preserve">2 thùng + 1 túi </v>
      </c>
      <c r="Y15" s="291"/>
      <c r="Z15" s="244" t="s">
        <v>367</v>
      </c>
      <c r="AA15" s="277" t="e">
        <f>IF(INT(Z15/600)&gt;=1,INT(Z15/600)&amp;" thùng + "&amp;MOD(Z15,600)&amp;" cái ",VALUE(Z15)&amp;"cái")</f>
        <v>#VALUE!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800</v>
      </c>
      <c r="L16" s="278" t="str">
        <f>IF(INT(K16/400)&gt;=1,INT(K16/400)&amp;" thùng + "&amp;MOD(K16,400)/100&amp;" túi ",VALUE(K16/100)&amp;"túi")</f>
        <v xml:space="preserve">2 thùng + 0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1300</v>
      </c>
      <c r="X16" s="278" t="str">
        <f>IF(INT(W16/400)&gt;=1,INT(W16/400)&amp;" thùng + "&amp;MOD(W16,400)/100&amp;" túi ",VALUE(W16/100)&amp;"túi")</f>
        <v xml:space="preserve">3 thùng + 1 túi </v>
      </c>
      <c r="Y16" s="292"/>
      <c r="Z16" s="244" t="s">
        <v>367</v>
      </c>
      <c r="AA16" s="278" t="e">
        <f>IF(INT(Z16/400)&gt;=1,INT(Z16/400)&amp;" thùng + "&amp;MOD(Z16,400)&amp;" cái ",VALUE(Z16/100)&amp;"túi")</f>
        <v>#VALUE!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800</v>
      </c>
      <c r="L17" s="277" t="str">
        <f>IF(INT(K17/200)&gt;=1,INT(K17/200)&amp;" thùng + "&amp;MOD(K17,200)/50&amp;" túi ",VALUE(K17/50)&amp;"túi")</f>
        <v xml:space="preserve">4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 t="s">
        <v>367</v>
      </c>
      <c r="AA17" s="277" t="e">
        <f>IF(INT(Z17/200)&gt;=1,INT(Z17/200)&amp;" thùng + "&amp;MOD(Z17,200)&amp;" cái ",VALUE(Z17/50)&amp;"túi")</f>
        <v>#VALUE!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100</v>
      </c>
      <c r="AP17" s="277" t="str">
        <f>IF(INT(AO17/200)&gt;=1,INT(AO17/200)&amp;" thùng + "&amp;MOD(AO17,200)/50&amp;" túi",VALUE(AO17/50)&amp;"túi")</f>
        <v>2túi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800</v>
      </c>
      <c r="L18" s="278" t="str">
        <f>IF(INT(K18/1200)&gt;=1,INT(K18/1200)&amp;" thùng + "&amp;MOD(K18,1200)/100&amp;" túi ",VALUE(K18/100)&amp;"túi")</f>
        <v>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600</v>
      </c>
      <c r="AF18" s="278" t="str">
        <f>IF(INT(AE18/1200)&gt;=1,INT(AE18/1200)&amp;" thùng + "&amp;MOD(AE18,1200)/100&amp;" túi ",VALUE(AE18/100)&amp;"túi")</f>
        <v>6túi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9200</v>
      </c>
      <c r="C19" s="277" t="str">
        <f>IF(INT(B19/4000)&gt;=1,INT(B19/4000)&amp;" thùng + "&amp;MOD(B19,4000)/100&amp;" túi ",VALUE(B19/100)&amp;"túi")</f>
        <v xml:space="preserve">2 thùng + 12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18600</v>
      </c>
      <c r="L19" s="277" t="str">
        <f>IF(INT(K19/4000)&gt;=1,INT(K19/4000)&amp;" thùng + "&amp;MOD(K19,4000)/100&amp;" túi ",VALUE(K19/100)&amp;"túi")</f>
        <v xml:space="preserve">4 thùng + 26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10000</v>
      </c>
      <c r="X19" s="277" t="str">
        <f>IF(INT(W19/4000)&gt;=1,INT(W19/4000)&amp;" thùng + "&amp;MOD(W19,4000)&amp;" cái ",VALUE(W19/100)&amp;"túi")</f>
        <v xml:space="preserve">2 thùng + 2000 cái </v>
      </c>
      <c r="Y19" s="291"/>
      <c r="Z19" s="244" t="s">
        <v>368</v>
      </c>
      <c r="AA19" s="278" t="e">
        <f>IF(INT(Z19/4000)&gt;=1,INT(Z19/4000)&amp;" thùng + "&amp;MOD(Z19,4000)/100&amp;" túi ",VALUE(Z19/100)&amp;"túi")</f>
        <v>#VALUE!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</v>
      </c>
      <c r="AS19" s="277" t="str">
        <f>IF(INT(AR19/4000)&gt;=1,INT(AR19/4000)&amp;" thùng + "&amp;MOD(AR19,4000)&amp;" cái ",VALUE(AR19/100)&amp;"túi")</f>
        <v>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800</v>
      </c>
      <c r="L21" s="363" t="str">
        <f>IF(INT(K21/100)&gt;=1,INT(K21/100)&amp;" thùng + "&amp;MOD(K21,100)&amp;" cái ",VALUE(K21/100)&amp;"cái")</f>
        <v xml:space="preserve">8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 t="s">
        <v>369</v>
      </c>
      <c r="AA21" s="278" t="e">
        <f>IF(INT(Z21/400)&gt;=1,INT(Z21/400)&amp;" thùng + "&amp;MOD(Z21,400)/100&amp;" túi ",VALUE(Z21/100)&amp;"túi")</f>
        <v>#VALUE!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800</v>
      </c>
      <c r="L22" s="363" t="str">
        <f>IF(INT(K22/100)&gt;=1,INT(K22/100)&amp;" thùng + "&amp;MOD(K22,100)&amp;" cái ",VALUE(K22/100)&amp;"cái")</f>
        <v xml:space="preserve">8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>
        <v>166</v>
      </c>
      <c r="AA22" s="278" t="str">
        <f>IF(INT(Z22/300)&gt;=1,INT(Z22/300)&amp;" thùng + "&amp;MOD(Z22,300)/100&amp;" túi ",VALUE(Z22/100)&amp;"túi")</f>
        <v>1.66túi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 t="s">
        <v>370</v>
      </c>
      <c r="AA23" s="277" t="e">
        <f>IF(INT(Z23/600)&gt;=1,INT(Z23/600)&amp;" thùng + "&amp;MOD(Z23,600)/100&amp;" túi ",VALUE(Z23/100)&amp;"túi")</f>
        <v>#VALUE!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500</v>
      </c>
      <c r="AS23" s="277" t="str">
        <f>IF(INT(AR23/400)&gt;=1,INT(AR23/400)&amp;" thùng + "&amp;MOD(AR23,400)&amp;" cái ",VALUE(AR23)&amp;"cái")</f>
        <v xml:space="preserve">1 thùng + 100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 t="s">
        <v>370</v>
      </c>
      <c r="AA24" s="277" t="e">
        <f>IF(INT(Z24/500)&gt;=1,INT(Z24/500)&amp;" thùng + "&amp;MOD(Z24,500)/100&amp;" túi ",VALUE(Z24/100)&amp;"túi")</f>
        <v>#VALUE!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500</v>
      </c>
      <c r="AS24" s="277" t="str">
        <f>IF(INT(AR24/250)&gt;=1,INT(AR24/250)&amp;" thùng + "&amp;MOD(AR24,250)&amp;" cái ",VALUE(AR24)&amp;"cái")</f>
        <v xml:space="preserve">2 thùng + 0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600</v>
      </c>
      <c r="AF25" s="277" t="str">
        <f>IF(INT(AE25/500)&gt;=1,INT(AE25/500)&amp;" thùng + "&amp;MOD(AE25,500)/100&amp;" túi ",VALUE(AE25/100)&amp;"túi")</f>
        <v xml:space="preserve">1 thùng + 1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3220</v>
      </c>
      <c r="U26" s="278" t="str">
        <f>IF(INT(T26/4000)&gt;=1,INT(T26/4000)&amp;" thùng + "&amp;MOD(T26,4000)/100&amp;" túi ",VALUE(T26/100)&amp;"túi")</f>
        <v>32.2túi</v>
      </c>
      <c r="V26" s="291"/>
      <c r="W26" s="244">
        <v>1730</v>
      </c>
      <c r="X26" s="278" t="str">
        <f>IF(INT(W26/4000)&gt;=1,INT(W26/4000)&amp;" thùng + "&amp;MOD(W26,4000)/100&amp;" túi ",VALUE(W26/100)&amp;"túi")</f>
        <v>17.3túi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600</v>
      </c>
      <c r="AF26" s="288" t="str">
        <f>IF(INT(AE26/4000)&gt;=1,INT(AE26/4000)&amp;" thùng + "&amp;MOD(AE26,4000)/100&amp;" túi ",VALUE(AE26/100)&amp;"túi")</f>
        <v>6túi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/>
      <c r="AS26" s="385" t="str">
        <f>IF(INT(AR26/4000)&gt;=1,INT(AR26/4000)&amp;" thùng + "&amp;MOD(AR26,4000)/100&amp;" túi ",VALUE(AR26/100)&amp;"túi")</f>
        <v>0túi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 t="s">
        <v>371</v>
      </c>
      <c r="AA27" s="278" t="e">
        <f>IF(INT(Z27/400)&gt;=1,INT(Z27/400)&amp;" thùng + "&amp;MOD(Z27,400)/100&amp;" túi ",VALUE(Z27/100)&amp;"túi")</f>
        <v>#VALUE!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200</v>
      </c>
      <c r="AS27" s="278" t="str">
        <f t="shared" ref="AS27" si="6">IF(INT(AR27/2000)&gt;=1,INT(AR27/2000)&amp;" thùng + "&amp;MOD(AR27,2000)/100&amp;" túi ",VALUE(AR27/100)&amp;"túi")</f>
        <v>2túi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321" t="s">
        <v>311</v>
      </c>
      <c r="AA28" s="278" t="e">
        <f>IF(INT(Z28/1000)&gt;=1,INT(Z28/1000)&amp;" thùng + "&amp;MOD(Z28,1000)/100&amp;" túi ",VALUE(Z28/100)&amp;"túi")</f>
        <v>#VALUE!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 t="s">
        <v>369</v>
      </c>
      <c r="AA29" s="278" t="e">
        <f>IF(INT(Z29/200)&gt;=1,INT(Z29/200)&amp;" thùng + "&amp;MOD(Z29,200)/50&amp;" túi ",VALUE(Z29/50)&amp;"túi")</f>
        <v>#VALUE!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500</v>
      </c>
      <c r="C30" s="363" t="str">
        <f>IF(INT(B30/20)&gt;=1,INT(B30/20)&amp;" thùng + "&amp;MOD(B30,20)&amp;" cái ",VALUE(B30/20)&amp;"cái")</f>
        <v xml:space="preserve">25 thùng + 0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800</v>
      </c>
      <c r="AS30" s="278" t="str">
        <f t="shared" ref="AS30" si="7">IF(INT(AR30/2000)&gt;=1,INT(AR30/2000)&amp;" thùng + "&amp;MOD(AR30,2000)/100&amp;" túi ",VALUE(AR30/100)&amp;"túi")</f>
        <v>8túi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200</v>
      </c>
      <c r="AA31" s="363" t="str">
        <f>IF(INT(Z31/20)&gt;=1,INT(Z31/20)&amp;" thùng + "&amp;MOD(Z31,20)&amp;" cái ",VALUE(Z31/20)&amp;"cái")</f>
        <v xml:space="preserve">10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200</v>
      </c>
      <c r="AA32" s="278" t="str">
        <f>IF(INT(Z32/200)&gt;=1,INT(Z32/200)&amp;" thùng + "&amp;MOD(Z32,200)/20&amp;" túi ",VALUE(Z32)&amp;"cái")</f>
        <v xml:space="preserve">1 thùng + 0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500</v>
      </c>
      <c r="L34" s="277" t="str">
        <f>IF(INT(K34/1000)&gt;=1,INT(K34/1000)&amp;" thùng + "&amp;MOD(K34,1000)/100&amp;" túi ",VALUE(K34/100)&amp;"túi")</f>
        <v>5túi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700</v>
      </c>
      <c r="X34" s="278" t="str">
        <f>IF(INT(W34/1000)&gt;=1,INT(W34/1000)&amp;" thùng + "&amp;MOD(W34,1000)/100&amp;" túi ",VALUE(W34/100)&amp;"túi")</f>
        <v>7túi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 t="s">
        <v>372</v>
      </c>
      <c r="AA35" s="278" t="e">
        <f>IF(INT(Z35/4000)&gt;=1,INT(Z35/4000)&amp;" thùng + "&amp;MOD(Z35,4000)/100&amp;" túi ",VALUE(Z35/100)&amp;"túi")</f>
        <v>#VALUE!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 t="s">
        <v>372</v>
      </c>
      <c r="AA36" s="277" t="e">
        <f>IF(INT(Z36/50)&gt;=1,INT(Z36/50)&amp;" thùng + "&amp;MOD(Z36,50)&amp;" cái ",VALUE(Z36)&amp;"cái")</f>
        <v>#VALUE!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 t="s">
        <v>365</v>
      </c>
      <c r="AA37" s="277" t="e">
        <f>IF(INT(Z37/1000)&gt;=1,INT(Z37/1000)&amp;" thùng + "&amp;MOD(Z37,1000)/100&amp;" túi ",VALUE(Z37/100)&amp;"túi")</f>
        <v>#VALUE!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14700</v>
      </c>
      <c r="C38" s="277" t="str">
        <f>IF(INT(B38/4000)&gt;=1,INT(B38/4000)&amp;" thùng + "&amp;MOD(B38,4000)/100&amp;" túi ",VALUE(B38/100)&amp;"túi")</f>
        <v xml:space="preserve">3 thùng + 27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 t="s">
        <v>373</v>
      </c>
      <c r="AA38" s="278" t="e">
        <f>IF(INT(Z38/3000)&gt;=1,INT(Z38/3000)&amp;" thùng + "&amp;MOD(Z38,3000)/100&amp;" túi ",VALUE(Z38/100)&amp;"túi")</f>
        <v>#VALUE!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 t="s">
        <v>369</v>
      </c>
      <c r="AA39" s="278" t="e">
        <f t="shared" ref="AA39" si="9">IF(INT(Z39/2000)&gt;=1,INT(Z39/2000)&amp;" thùng + "&amp;MOD(Z39,2000)/100&amp;" túi ",VALUE(Z39/100)&amp;"túi")</f>
        <v>#VALUE!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200</v>
      </c>
      <c r="AA41" s="277" t="str">
        <f>IF(INT(Z41/100)&gt;=1,INT(Z41/100)&amp;" thùng + "&amp;MOD(Z41,100)/50&amp;" túi ",VALUE(Z41)&amp;"cái")</f>
        <v xml:space="preserve">2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400</v>
      </c>
      <c r="AA42" s="278" t="str">
        <f>IF(INT(Z42/3000)&gt;=1,INT(Z42/3000)&amp;" thùng + "&amp;MOD(Z42,3000)/100&amp;" túi ",VALUE(Z42/100)&amp;"túi")</f>
        <v>4túi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200</v>
      </c>
      <c r="AA43" s="277" t="str">
        <f>IF(INT(Z43/1000)&gt;=1,INT(Z43/1000)&amp;" thùng + "&amp;MOD(Z43,1000)/100&amp;" túi ",VALUE(Z43/100)&amp;"túi")</f>
        <v>2túi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200</v>
      </c>
      <c r="AA44" s="278" t="str">
        <f>IF(INT(Z44/4000)&gt;=1,INT(Z44/4000)&amp;" thùng + "&amp;MOD(Z44,4000)/100&amp;" túi ",VALUE(Z44/100)&amp;"túi")</f>
        <v>2túi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>
        <v>332</v>
      </c>
      <c r="AA46" s="278" t="str">
        <f>IF(INT(Z46/100)&gt;=1,INT(Z46/100)&amp;" thùng + "&amp;MOD(Z46,100)&amp;" cái ",VALUE(Z46)&amp;"cái")</f>
        <v xml:space="preserve">3 thùng + 32 cái 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600</v>
      </c>
      <c r="AF49" s="278" t="str">
        <f>IF(INT(AE49/200)&gt;=1,INT(AE49/200)&amp;" thùng + "&amp;MOD(AE49,200)/100&amp;" túi ",VALUE(AE49)&amp;"cái")</f>
        <v xml:space="preserve">3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277"/>
      <c r="V51" s="291"/>
      <c r="W51" s="242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150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150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24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2"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A23" sqref="A23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661"/>
      <c r="G1" s="660"/>
      <c r="H1" s="978" t="s">
        <v>268</v>
      </c>
      <c r="I1" s="979"/>
      <c r="J1" s="979"/>
      <c r="K1" s="979"/>
      <c r="L1" s="980"/>
    </row>
    <row r="2" spans="1:12" ht="26.25" customHeight="1">
      <c r="A2" s="4" t="s">
        <v>355</v>
      </c>
      <c r="B2" s="141"/>
      <c r="C2" s="5"/>
      <c r="D2" s="1033" t="s">
        <v>260</v>
      </c>
      <c r="E2" s="1033"/>
      <c r="F2" s="1034"/>
      <c r="G2" s="668"/>
      <c r="H2" s="440" t="str">
        <f>A2</f>
        <v>Ngày 17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669">
        <v>4</v>
      </c>
      <c r="J3" s="669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669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662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 t="s">
        <v>37</v>
      </c>
      <c r="I9" s="270">
        <v>70</v>
      </c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 t="s">
        <v>115</v>
      </c>
      <c r="I10" s="213">
        <v>330</v>
      </c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 t="s">
        <v>357</v>
      </c>
      <c r="I11" s="212">
        <v>100</v>
      </c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 t="s">
        <v>358</v>
      </c>
      <c r="I12" s="213">
        <v>140</v>
      </c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 t="s">
        <v>40</v>
      </c>
      <c r="I13" s="212">
        <v>40</v>
      </c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 t="s">
        <v>41</v>
      </c>
      <c r="I14" s="214">
        <v>10</v>
      </c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 t="s">
        <v>44</v>
      </c>
      <c r="I15" s="215">
        <v>70</v>
      </c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 t="s">
        <v>100</v>
      </c>
      <c r="I16" s="215">
        <v>20</v>
      </c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 t="s">
        <v>85</v>
      </c>
      <c r="I17" s="214">
        <v>10</v>
      </c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 t="s">
        <v>116</v>
      </c>
      <c r="I18" s="214">
        <v>10</v>
      </c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 t="s">
        <v>20</v>
      </c>
      <c r="I19" s="215">
        <v>80</v>
      </c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 t="s">
        <v>171</v>
      </c>
      <c r="I20" s="214">
        <v>10</v>
      </c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 t="s">
        <v>10</v>
      </c>
      <c r="I21" s="215">
        <v>160</v>
      </c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 t="s">
        <v>359</v>
      </c>
      <c r="I22" s="214">
        <v>10</v>
      </c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 t="s">
        <v>51</v>
      </c>
      <c r="I23" s="215">
        <v>4000</v>
      </c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 t="s">
        <v>52</v>
      </c>
      <c r="I24" s="214">
        <v>4000</v>
      </c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 t="s">
        <v>61</v>
      </c>
      <c r="I25" s="215">
        <v>4000</v>
      </c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 t="s">
        <v>62</v>
      </c>
      <c r="I26" s="215">
        <v>4000</v>
      </c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 t="s">
        <v>360</v>
      </c>
      <c r="I27" s="214">
        <v>400</v>
      </c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 t="s">
        <v>53</v>
      </c>
      <c r="I28" s="215">
        <v>50</v>
      </c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 t="s">
        <v>251</v>
      </c>
      <c r="I29" s="215">
        <v>140</v>
      </c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 t="s">
        <v>21</v>
      </c>
      <c r="I30" s="208">
        <v>30</v>
      </c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 t="s">
        <v>54</v>
      </c>
      <c r="I31" s="208">
        <v>140</v>
      </c>
      <c r="J31" s="30"/>
      <c r="K31" s="38"/>
      <c r="L31" s="323"/>
    </row>
    <row r="32" spans="1:12" s="35" customFormat="1">
      <c r="A32" s="29" t="s">
        <v>242</v>
      </c>
      <c r="B32" s="451">
        <v>900</v>
      </c>
      <c r="C32" s="278" t="str">
        <f>IF(INT(B32/200)&gt;=1,INT(B32/200)&amp;" thùng + "&amp;MOD(B32,200)&amp;" cái",VALUE(B32)&amp;"cái")</f>
        <v>4 thùng + 100 cái</v>
      </c>
      <c r="D32" s="278"/>
      <c r="E32" s="30"/>
      <c r="F32" s="46"/>
      <c r="G32" s="437"/>
      <c r="H32" s="49" t="s">
        <v>55</v>
      </c>
      <c r="I32" s="208">
        <v>490</v>
      </c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 t="s">
        <v>56</v>
      </c>
      <c r="I33" s="208">
        <v>320</v>
      </c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 t="s">
        <v>148</v>
      </c>
      <c r="I34" s="208">
        <v>270</v>
      </c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 t="s">
        <v>1</v>
      </c>
      <c r="I35" s="208">
        <v>820</v>
      </c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 t="s">
        <v>16</v>
      </c>
      <c r="I36" s="208">
        <v>510</v>
      </c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 t="s">
        <v>18</v>
      </c>
      <c r="I37" s="208">
        <v>140</v>
      </c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 t="s">
        <v>57</v>
      </c>
      <c r="I38" s="208">
        <v>400</v>
      </c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 t="s">
        <v>17</v>
      </c>
      <c r="I39" s="208">
        <v>50</v>
      </c>
      <c r="J39" s="37"/>
      <c r="K39" s="38"/>
      <c r="L39" s="323"/>
    </row>
    <row r="40" spans="1:12">
      <c r="A40" s="29" t="s">
        <v>272</v>
      </c>
      <c r="B40" s="458">
        <v>100</v>
      </c>
      <c r="C40" s="278"/>
      <c r="D40" s="38"/>
      <c r="E40" s="37"/>
      <c r="F40" s="43"/>
      <c r="H40" s="50" t="s">
        <v>19</v>
      </c>
      <c r="I40" s="209">
        <v>30</v>
      </c>
      <c r="J40" s="32"/>
      <c r="K40" s="30"/>
      <c r="L40" s="322"/>
    </row>
    <row r="41" spans="1:12">
      <c r="A41" s="26" t="s">
        <v>262</v>
      </c>
      <c r="B41" s="458">
        <v>100</v>
      </c>
      <c r="C41" s="278"/>
      <c r="D41" s="38"/>
      <c r="E41" s="37"/>
      <c r="F41" s="43"/>
      <c r="H41" s="50" t="s">
        <v>58</v>
      </c>
      <c r="I41" s="209">
        <v>30</v>
      </c>
      <c r="J41" s="37"/>
      <c r="K41" s="38"/>
      <c r="L41" s="323"/>
    </row>
    <row r="42" spans="1:12">
      <c r="A42" s="29" t="s">
        <v>263</v>
      </c>
      <c r="B42" s="458">
        <v>100</v>
      </c>
      <c r="C42" s="38"/>
      <c r="D42" s="38"/>
      <c r="E42" s="37"/>
      <c r="F42" s="43"/>
      <c r="H42" s="50" t="s">
        <v>293</v>
      </c>
      <c r="I42" s="209">
        <v>3340</v>
      </c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 t="s">
        <v>361</v>
      </c>
      <c r="I43" s="208">
        <v>370</v>
      </c>
      <c r="J43" s="37"/>
      <c r="K43" s="38"/>
      <c r="L43" s="323"/>
    </row>
    <row r="44" spans="1:12">
      <c r="H44" s="50" t="s">
        <v>59</v>
      </c>
      <c r="I44" s="209">
        <v>4700</v>
      </c>
      <c r="J44" s="30"/>
      <c r="K44" s="30"/>
      <c r="L44" s="46"/>
    </row>
    <row r="45" spans="1:12">
      <c r="H45" s="49" t="s">
        <v>24</v>
      </c>
      <c r="I45" s="208">
        <v>35</v>
      </c>
      <c r="J45" s="37"/>
      <c r="K45" s="38"/>
      <c r="L45" s="43"/>
    </row>
    <row r="46" spans="1:12">
      <c r="H46" s="49" t="s">
        <v>362</v>
      </c>
      <c r="I46" s="208">
        <v>440</v>
      </c>
      <c r="J46" s="30"/>
      <c r="K46" s="30"/>
      <c r="L46" s="46"/>
    </row>
    <row r="47" spans="1:12">
      <c r="H47" s="50" t="s">
        <v>363</v>
      </c>
      <c r="I47" s="209">
        <v>370</v>
      </c>
      <c r="J47" s="37"/>
      <c r="K47" s="38"/>
      <c r="L47" s="43"/>
    </row>
    <row r="48" spans="1:12">
      <c r="H48" s="273" t="s">
        <v>60</v>
      </c>
      <c r="I48" s="209">
        <v>2960</v>
      </c>
      <c r="J48" s="32"/>
      <c r="K48" s="30"/>
      <c r="L48" s="46"/>
    </row>
    <row r="49" spans="8:12">
      <c r="H49" s="29" t="s">
        <v>74</v>
      </c>
      <c r="I49" s="209">
        <v>410</v>
      </c>
      <c r="J49" s="32"/>
      <c r="K49" s="38"/>
      <c r="L49" s="43"/>
    </row>
    <row r="50" spans="8:12">
      <c r="H50" s="26" t="s">
        <v>364</v>
      </c>
      <c r="I50" s="209">
        <v>100</v>
      </c>
      <c r="J50" s="37"/>
      <c r="K50" s="30"/>
      <c r="L50" s="46"/>
    </row>
    <row r="51" spans="8:12" ht="13.5" thickBot="1">
      <c r="H51" s="47" t="s">
        <v>113</v>
      </c>
      <c r="I51" s="274">
        <v>4200</v>
      </c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C132"/>
  <sheetViews>
    <sheetView topLeftCell="R1" zoomScale="80" zoomScaleNormal="80" workbookViewId="0">
      <pane ySplit="7" topLeftCell="A8" activePane="bottomLeft" state="frozen"/>
      <selection activeCell="Z27" sqref="Z27"/>
      <selection pane="bottomLeft" activeCell="Z29" sqref="Z2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673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675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674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374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18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18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18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18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676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81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676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676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680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680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83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82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684"/>
      <c r="K7" s="74" t="s">
        <v>63</v>
      </c>
      <c r="L7" s="74" t="s">
        <v>217</v>
      </c>
      <c r="M7" s="370" t="s">
        <v>230</v>
      </c>
      <c r="N7" s="932"/>
      <c r="O7" s="672" t="s">
        <v>63</v>
      </c>
      <c r="P7" s="672" t="s">
        <v>217</v>
      </c>
      <c r="Q7" s="371" t="s">
        <v>230</v>
      </c>
      <c r="S7" s="939"/>
      <c r="T7" s="74" t="s">
        <v>259</v>
      </c>
      <c r="U7" s="74" t="s">
        <v>217</v>
      </c>
      <c r="V7" s="672" t="s">
        <v>230</v>
      </c>
      <c r="W7" s="74" t="s">
        <v>63</v>
      </c>
      <c r="X7" s="74" t="s">
        <v>217</v>
      </c>
      <c r="Y7" s="672" t="s">
        <v>230</v>
      </c>
      <c r="Z7" s="315" t="s">
        <v>63</v>
      </c>
      <c r="AA7" s="672" t="s">
        <v>217</v>
      </c>
      <c r="AB7" s="394" t="s">
        <v>230</v>
      </c>
      <c r="AC7" s="420"/>
      <c r="AD7" s="1032"/>
      <c r="AE7" s="383" t="s">
        <v>63</v>
      </c>
      <c r="AF7" s="672" t="s">
        <v>217</v>
      </c>
      <c r="AG7" s="672" t="s">
        <v>230</v>
      </c>
      <c r="AH7" s="372" t="s">
        <v>63</v>
      </c>
      <c r="AI7" s="672" t="s">
        <v>217</v>
      </c>
      <c r="AJ7" s="672" t="s">
        <v>230</v>
      </c>
      <c r="AK7" s="671" t="s">
        <v>63</v>
      </c>
      <c r="AL7" s="340" t="s">
        <v>217</v>
      </c>
      <c r="AM7" s="420"/>
      <c r="AN7" s="1021"/>
      <c r="AO7" s="372" t="s">
        <v>63</v>
      </c>
      <c r="AP7" s="672" t="s">
        <v>217</v>
      </c>
      <c r="AQ7" s="672" t="s">
        <v>230</v>
      </c>
      <c r="AR7" s="672" t="s">
        <v>63</v>
      </c>
      <c r="AS7" s="672" t="s">
        <v>217</v>
      </c>
      <c r="AT7" s="672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400</v>
      </c>
      <c r="L8" s="276" t="str">
        <f>IF(INT(K8/4000)&gt;=1,INT(K8/4000)&amp;" thùng + "&amp;MOD(K8,4000)/100&amp;" túi ",VALUE(K8/100)&amp;"túi")</f>
        <v>4túi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400</v>
      </c>
      <c r="L9" s="277" t="str">
        <f>IF(INT(K9/500)&gt;=1,INT(K9/500)&amp;" thùng + "&amp;MOD(K9,500)/100&amp;" túi ",VALUE(K9/100)&amp;"túi")</f>
        <v>4túi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900</v>
      </c>
      <c r="X9" s="278" t="str">
        <f>IF(INT(W9/4000)&gt;=1,INT(W9/4000)&amp;" thùng + "&amp;MOD(W9,4000)/100&amp;" túi ",VALUE(W9/100)&amp;"túi")</f>
        <v>9túi</v>
      </c>
      <c r="Y9" s="313"/>
      <c r="Z9" s="245">
        <v>470</v>
      </c>
      <c r="AA9" s="278" t="str">
        <f>IF(INT(Z9/4000)&gt;=1,INT(Z9/4000)&amp;" thùng + "&amp;MOD(Z9,4000)/100&amp;" túi ",VALUE(Z9/100)&amp;"túi")</f>
        <v>4.7túi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600</v>
      </c>
      <c r="L10" s="278" t="str">
        <f>IF(INT(K10/500)&gt;=1,INT(K10/500)&amp;" thùng + "&amp;MOD(K10,500)/100&amp;" túi ",VALUE(K10/100)&amp;"túi")</f>
        <v xml:space="preserve">1 thùng + 1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600</v>
      </c>
      <c r="AF10" s="278" t="str">
        <f>IF(INT(AE10/500)&gt;=1,INT(AE10/500)&amp;" thùng + "&amp;MOD(AE10,500)/100&amp;" túi ",VALUE(AE10/100)&amp;"túi")</f>
        <v xml:space="preserve">1 thùng + 1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360</v>
      </c>
      <c r="AA11" s="277" t="str">
        <f>IF(INT(Z11/3000)&gt;=1,INT(Z11/3000)&amp;" thùng + "&amp;MOD(Z11,3000)/100&amp;" túi ",VALUE(Z11/100)&amp;"túi")</f>
        <v>3.6túi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2800</v>
      </c>
      <c r="G12" s="277" t="str">
        <f>IF(INT(F12/2000)&gt;=1,INT(F12/2000)&amp;" thùng + "&amp;MOD(F12,2000)/100&amp;" túi ",VALUE(F12/100)&amp;"túi")</f>
        <v xml:space="preserve">1 thùng + 8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3000</v>
      </c>
      <c r="X12" s="278" t="str">
        <f t="shared" ref="X12" si="1">IF(INT(W12/2000)&gt;=1,INT(W12/2000)&amp;" thùng + "&amp;MOD(W12,2000)/100&amp;" túi ",VALUE(W12/100)&amp;"túi")</f>
        <v xml:space="preserve">1 thùng + 10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200</v>
      </c>
      <c r="AV12" s="385" t="str">
        <f t="shared" si="4"/>
        <v>2túi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 t="s">
        <v>375</v>
      </c>
      <c r="AA13" s="277" t="e">
        <f>IF(INT(Z13/600)&gt;=1,INT(Z13/600)&amp;" thùng + "&amp;MOD(Z13,600)&amp;" cái ",VALUE(Z13)&amp;"cái")</f>
        <v>#VALUE!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 t="s">
        <v>375</v>
      </c>
      <c r="AA14" s="278" t="e">
        <f>IF(INT(Z14/400)&gt;=1,INT(Z14/400)&amp;" thùng + "&amp;MOD(Z14,400)&amp;" cái ",VALUE(Z14/100)&amp;"túi")</f>
        <v>#VALUE!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 t="s">
        <v>376</v>
      </c>
      <c r="AA15" s="277" t="e">
        <f>IF(INT(Z15/600)&gt;=1,INT(Z15/600)&amp;" thùng + "&amp;MOD(Z15,600)&amp;" cái ",VALUE(Z15)&amp;"cái")</f>
        <v>#VALUE!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 t="s">
        <v>376</v>
      </c>
      <c r="AA16" s="278" t="e">
        <f>IF(INT(Z16/400)&gt;=1,INT(Z16/400)&amp;" thùng + "&amp;MOD(Z16,400)&amp;" cái ",VALUE(Z16/100)&amp;"túi")</f>
        <v>#VALUE!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900</v>
      </c>
      <c r="X17" s="277" t="str">
        <f>IF(INT(W17/200)&gt;=1,INT(W17/200)&amp;" thùng + "&amp;MOD(W17,200)/50&amp;" túi ",VALUE(W17/50)&amp;"túi")</f>
        <v xml:space="preserve">4 thùng + 2 túi </v>
      </c>
      <c r="Y17" s="291"/>
      <c r="Z17" s="244" t="s">
        <v>376</v>
      </c>
      <c r="AA17" s="277" t="e">
        <f>IF(INT(Z17/200)&gt;=1,INT(Z17/200)&amp;" thùng + "&amp;MOD(Z17,200)&amp;" cái ",VALUE(Z17/50)&amp;"túi")</f>
        <v>#VALUE!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100</v>
      </c>
      <c r="AP17" s="277" t="str">
        <f>IF(INT(AO17/200)&gt;=1,INT(AO17/200)&amp;" thùng + "&amp;MOD(AO17,200)/50&amp;" túi",VALUE(AO17/50)&amp;"túi")</f>
        <v>2túi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600</v>
      </c>
      <c r="AF18" s="278" t="str">
        <f>IF(INT(AE18/1200)&gt;=1,INT(AE18/1200)&amp;" thùng + "&amp;MOD(AE18,1200)/100&amp;" túi ",VALUE(AE18/100)&amp;"túi")</f>
        <v>6túi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20100</v>
      </c>
      <c r="G19" s="277" t="str">
        <f>IF(INT(F19/4000)&gt;=1,INT(F19/4000)&amp;" thùng + "&amp;MOD(F19,4000)/100&amp;" túi ",VALUE(F19/100)&amp;"túi")</f>
        <v xml:space="preserve">5 thùng + 1 túi </v>
      </c>
      <c r="H19" s="346"/>
      <c r="J19" s="234" t="s">
        <v>113</v>
      </c>
      <c r="K19" s="242">
        <v>20200</v>
      </c>
      <c r="L19" s="277" t="str">
        <f>IF(INT(K19/4000)&gt;=1,INT(K19/4000)&amp;" thùng + "&amp;MOD(K19,4000)/100&amp;" túi ",VALUE(K19/100)&amp;"túi")</f>
        <v xml:space="preserve">5 thùng + 2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10800</v>
      </c>
      <c r="X19" s="277" t="str">
        <f>IF(INT(W19/4000)&gt;=1,INT(W19/4000)&amp;" thùng + "&amp;MOD(W19,4000)&amp;" cái ",VALUE(W19/100)&amp;"túi")</f>
        <v xml:space="preserve">2 thùng + 2800 cái </v>
      </c>
      <c r="Y19" s="291"/>
      <c r="Z19" s="244" t="s">
        <v>381</v>
      </c>
      <c r="AA19" s="278" t="e">
        <f>IF(INT(Z19/4000)&gt;=1,INT(Z19/4000)&amp;" thùng + "&amp;MOD(Z19,4000)/100&amp;" túi ",VALUE(Z19/100)&amp;"túi")</f>
        <v>#VALUE!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</v>
      </c>
      <c r="AS19" s="277" t="str">
        <f>IF(INT(AR19/4000)&gt;=1,INT(AR19/4000)&amp;" thùng + "&amp;MOD(AR19,4000)&amp;" cái ",VALUE(AR19/100)&amp;"túi")</f>
        <v>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800</v>
      </c>
      <c r="L20" s="278" t="str">
        <f>IF(INT(K20/2000)&gt;=1,INT(K20/2000)&amp;" thùng + "&amp;MOD(K20,2000)/100&amp;" túi ",VALUE(K20/100)&amp;"túi")</f>
        <v>8túi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 t="s">
        <v>377</v>
      </c>
      <c r="AA21" s="278" t="e">
        <f>IF(INT(Z21/400)&gt;=1,INT(Z21/400)&amp;" thùng + "&amp;MOD(Z21,400)/100&amp;" túi ",VALUE(Z21/100)&amp;"túi")</f>
        <v>#VALUE!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 t="s">
        <v>377</v>
      </c>
      <c r="AA23" s="277" t="e">
        <f>IF(INT(Z23/600)&gt;=1,INT(Z23/600)&amp;" thùng + "&amp;MOD(Z23,600)/100&amp;" túi ",VALUE(Z23/100)&amp;"túi")</f>
        <v>#VALUE!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500</v>
      </c>
      <c r="AS23" s="277" t="str">
        <f>IF(INT(AR23/400)&gt;=1,INT(AR23/400)&amp;" thùng + "&amp;MOD(AR23,400)&amp;" cái ",VALUE(AR23)&amp;"cái")</f>
        <v xml:space="preserve">1 thùng + 100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 t="s">
        <v>377</v>
      </c>
      <c r="AA24" s="277" t="e">
        <f>IF(INT(Z24/500)&gt;=1,INT(Z24/500)&amp;" thùng + "&amp;MOD(Z24,500)/100&amp;" túi ",VALUE(Z24/100)&amp;"túi")</f>
        <v>#VALUE!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500</v>
      </c>
      <c r="AS24" s="277" t="str">
        <f>IF(INT(AR24/250)&gt;=1,INT(AR24/250)&amp;" thùng + "&amp;MOD(AR24,250)&amp;" cái ",VALUE(AR24)&amp;"cái")</f>
        <v xml:space="preserve">2 thùng + 0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600</v>
      </c>
      <c r="AF25" s="277" t="str">
        <f>IF(INT(AE25/500)&gt;=1,INT(AE25/500)&amp;" thùng + "&amp;MOD(AE25,500)/100&amp;" túi ",VALUE(AE25/100)&amp;"túi")</f>
        <v xml:space="preserve">1 thùng + 1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3030</v>
      </c>
      <c r="C26" s="277" t="str">
        <f>IF(INT(B26/4000)&gt;=1,INT(B26/4000)&amp;" thùng + "&amp;MOD(B26,4000)/100&amp;" túi ",VALUE(B26/100)&amp;"túi")</f>
        <v>30.3túi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3650</v>
      </c>
      <c r="U26" s="278" t="str">
        <f>IF(INT(T26/4000)&gt;=1,INT(T26/4000)&amp;" thùng + "&amp;MOD(T26,4000)/100&amp;" túi ",VALUE(T26/100)&amp;"túi")</f>
        <v>36.5túi</v>
      </c>
      <c r="V26" s="291"/>
      <c r="W26" s="244">
        <v>1300</v>
      </c>
      <c r="X26" s="278" t="str">
        <f>IF(INT(W26/4000)&gt;=1,INT(W26/4000)&amp;" thùng + "&amp;MOD(W26,4000)/100&amp;" túi ",VALUE(W26/100)&amp;"túi")</f>
        <v>13túi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600</v>
      </c>
      <c r="AF26" s="288" t="str">
        <f>IF(INT(AE26/4000)&gt;=1,INT(AE26/4000)&amp;" thùng + "&amp;MOD(AE26,4000)/100&amp;" túi ",VALUE(AE26/100)&amp;"túi")</f>
        <v>6túi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/>
      <c r="AS26" s="385" t="str">
        <f>IF(INT(AR26/4000)&gt;=1,INT(AR26/4000)&amp;" thùng + "&amp;MOD(AR26,4000)/100&amp;" túi ",VALUE(AR26/100)&amp;"túi")</f>
        <v>0túi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600</v>
      </c>
      <c r="L27" s="363" t="str">
        <f>IF(INT(K27/50)&gt;=1,INT(K27/50)&amp;" thùng + "&amp;MOD(K27,50)&amp;" cái ",VALUE(K27/50)&amp;"cái")</f>
        <v xml:space="preserve">12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 t="s">
        <v>378</v>
      </c>
      <c r="AA27" s="278" t="e">
        <f>IF(INT(Z27/400)&gt;=1,INT(Z27/400)&amp;" thùng + "&amp;MOD(Z27,400)/100&amp;" túi ",VALUE(Z27/100)&amp;"túi")</f>
        <v>#VALUE!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200</v>
      </c>
      <c r="AS27" s="278" t="str">
        <f t="shared" ref="AS27" si="6">IF(INT(AR27/2000)&gt;=1,INT(AR27/2000)&amp;" thùng + "&amp;MOD(AR27,2000)/100&amp;" túi ",VALUE(AR27/100)&amp;"túi")</f>
        <v>2túi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360</v>
      </c>
      <c r="AA28" s="278" t="str">
        <f>IF(INT(Z28/1000)&gt;=1,INT(Z28/1000)&amp;" thùng + "&amp;MOD(Z28,1000)/100&amp;" túi ",VALUE(Z28/100)&amp;"túi")</f>
        <v>3.6túi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800</v>
      </c>
      <c r="G29" s="277" t="str">
        <f>IF(INT(F29/1500)&gt;=1,INT(F29/1500)&amp;" thùng + "&amp;MOD(F29,1500)/100&amp;" túi ",VALUE(F29/100)&amp;"túi")</f>
        <v>8túi</v>
      </c>
      <c r="H29" s="349"/>
      <c r="J29" s="235" t="s">
        <v>89</v>
      </c>
      <c r="K29" s="327">
        <v>300</v>
      </c>
      <c r="L29" s="363" t="str">
        <f>IF(INT(K29/20)&gt;=1,INT(K29/20)&amp;" thùng + "&amp;MOD(K29,20)&amp;" cái ",VALUE(K29/20)&amp;"cái")</f>
        <v xml:space="preserve">15 thùng + 0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 t="s">
        <v>380</v>
      </c>
      <c r="AA29" s="278" t="e">
        <f>IF(INT(Z29/200)&gt;=1,INT(Z29/200)&amp;" thùng + "&amp;MOD(Z29,200)/50&amp;" túi ",VALUE(Z29/50)&amp;"túi")</f>
        <v>#VALUE!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800</v>
      </c>
      <c r="AS30" s="278" t="str">
        <f t="shared" ref="AS30" si="7">IF(INT(AR30/2000)&gt;=1,INT(AR30/2000)&amp;" thùng + "&amp;MOD(AR30,2000)/100&amp;" túi ",VALUE(AR30/100)&amp;"túi")</f>
        <v>8túi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180</v>
      </c>
      <c r="AA31" s="363" t="str">
        <f>IF(INT(Z31/20)&gt;=1,INT(Z31/20)&amp;" thùng + "&amp;MOD(Z31,20)&amp;" cái ",VALUE(Z31/20)&amp;"cái")</f>
        <v xml:space="preserve">9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3400</v>
      </c>
      <c r="C32" s="277" t="str">
        <f>IF(INT(B32/100)&gt;=1,INT(B32/100)&amp;" thùng + "&amp;MOD(B32,100)/100&amp;" cái ",VALUE(B32/100)&amp;"cái")</f>
        <v xml:space="preserve">34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180</v>
      </c>
      <c r="AA32" s="278" t="str">
        <f>IF(INT(Z32/200)&gt;=1,INT(Z32/200)&amp;" thùng + "&amp;MOD(Z32,200)/20&amp;" túi ",VALUE(Z32)&amp;"cái")</f>
        <v>180cái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200</v>
      </c>
      <c r="L33" s="363" t="str">
        <f>IF(INT(K33/20)&gt;=1,INT(K33/20)&amp;" thùng + "&amp;MOD(K33,20)&amp;" cái ",VALUE(K33/20)&amp;"cái")</f>
        <v xml:space="preserve">10 thùng + 0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1800</v>
      </c>
      <c r="X33" s="278" t="str">
        <f>IF(INT(W33/300)&gt;=1,INT(W33/300)&amp;" thùng + "&amp;MOD(W33,300)/100&amp;" túi ",VALUE(W33/100)&amp;"túi")</f>
        <v xml:space="preserve">6 thùng + 0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600</v>
      </c>
      <c r="L34" s="277" t="str">
        <f>IF(INT(K34/1000)&gt;=1,INT(K34/1000)&amp;" thùng + "&amp;MOD(K34,1000)/100&amp;" túi ",VALUE(K34/100)&amp;"túi")</f>
        <v>6túi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/>
      <c r="X34" s="278" t="str">
        <f>IF(INT(W34/1000)&gt;=1,INT(W34/1000)&amp;" thùng + "&amp;MOD(W34,1000)/100&amp;" túi ",VALUE(W34/100)&amp;"túi")</f>
        <v>0túi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 t="s">
        <v>378</v>
      </c>
      <c r="AA35" s="278" t="e">
        <f>IF(INT(Z35/4000)&gt;=1,INT(Z35/4000)&amp;" thùng + "&amp;MOD(Z35,4000)/100&amp;" túi ",VALUE(Z35/100)&amp;"túi")</f>
        <v>#VALUE!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1004</v>
      </c>
      <c r="AA36" s="277" t="str">
        <f>IF(INT(Z36/50)&gt;=1,INT(Z36/50)&amp;" thùng + "&amp;MOD(Z36,50)&amp;" cái ",VALUE(Z36)&amp;"cái")</f>
        <v xml:space="preserve">20 thùng + 4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800</v>
      </c>
      <c r="G37" s="278" t="str">
        <f>IF(INT(F37/200)&gt;=1,INT(F37/200)&amp;" thùng + "&amp;MOD(F37,200)&amp;" cái",VALUE(F37)&amp;"cái")</f>
        <v>4 thùng + 0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470</v>
      </c>
      <c r="AA37" s="277" t="str">
        <f>IF(INT(Z37/1000)&gt;=1,INT(Z37/1000)&amp;" thùng + "&amp;MOD(Z37,1000)/100&amp;" túi ",VALUE(Z37/100)&amp;"túi")</f>
        <v>4.7túi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16800</v>
      </c>
      <c r="C38" s="277" t="str">
        <f>IF(INT(B38/4000)&gt;=1,INT(B38/4000)&amp;" thùng + "&amp;MOD(B38,4000)/100&amp;" túi ",VALUE(B38/100)&amp;"túi")</f>
        <v xml:space="preserve">4 thùng + 8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 t="s">
        <v>379</v>
      </c>
      <c r="AA38" s="278" t="e">
        <f>IF(INT(Z38/3000)&gt;=1,INT(Z38/3000)&amp;" thùng + "&amp;MOD(Z38,3000)/100&amp;" túi ",VALUE(Z38/100)&amp;"túi")</f>
        <v>#VALUE!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 t="s">
        <v>377</v>
      </c>
      <c r="AA39" s="278" t="e">
        <f t="shared" ref="AA39" si="9">IF(INT(Z39/2000)&gt;=1,INT(Z39/2000)&amp;" thùng + "&amp;MOD(Z39,2000)/100&amp;" túi ",VALUE(Z39/100)&amp;"túi")</f>
        <v>#VALUE!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180</v>
      </c>
      <c r="AA41" s="277" t="str">
        <f>IF(INT(Z41/100)&gt;=1,INT(Z41/100)&amp;" thùng + "&amp;MOD(Z41,100)/50&amp;" túi ",VALUE(Z41)&amp;"cái")</f>
        <v xml:space="preserve">1 thùng + 1.6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360</v>
      </c>
      <c r="AA42" s="278" t="str">
        <f>IF(INT(Z42/3000)&gt;=1,INT(Z42/3000)&amp;" thùng + "&amp;MOD(Z42,3000)/100&amp;" túi ",VALUE(Z42/100)&amp;"túi")</f>
        <v>3.6túi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180</v>
      </c>
      <c r="AA43" s="277" t="str">
        <f>IF(INT(Z43/1000)&gt;=1,INT(Z43/1000)&amp;" thùng + "&amp;MOD(Z43,1000)/100&amp;" túi ",VALUE(Z43/100)&amp;"túi")</f>
        <v>1.8túi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180</v>
      </c>
      <c r="AA44" s="278" t="str">
        <f>IF(INT(Z44/4000)&gt;=1,INT(Z44/4000)&amp;" thùng + "&amp;MOD(Z44,4000)/100&amp;" túi ",VALUE(Z44/100)&amp;"túi")</f>
        <v>1.8túi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900</v>
      </c>
      <c r="X47" s="278" t="str">
        <f>IF(INT(W47/50)&gt;=1,INT(W47/50)&amp;" thùng + "&amp;MOD(W47,50)/10&amp;" túi ",VALUE(W47/10)&amp;"túi")</f>
        <v xml:space="preserve">18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600</v>
      </c>
      <c r="AF49" s="278" t="str">
        <f>IF(INT(AE49/200)&gt;=1,INT(AE49/200)&amp;" thùng + "&amp;MOD(AE49,200)/100&amp;" túi ",VALUE(AE49)&amp;"cái")</f>
        <v xml:space="preserve">3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345</v>
      </c>
      <c r="T50" s="316">
        <v>41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</v>
      </c>
      <c r="T51" s="317">
        <v>41</v>
      </c>
      <c r="U51" s="1043" t="s">
        <v>60</v>
      </c>
      <c r="V51" s="1044"/>
      <c r="W51" s="703">
        <v>21</v>
      </c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16</v>
      </c>
      <c r="U52" s="1024" t="s">
        <v>24</v>
      </c>
      <c r="V52" s="1025"/>
      <c r="W52" s="325">
        <v>41</v>
      </c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16</v>
      </c>
      <c r="U53" s="1024" t="s">
        <v>362</v>
      </c>
      <c r="V53" s="1025"/>
      <c r="W53" s="442">
        <v>75</v>
      </c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292</v>
      </c>
      <c r="T54" s="378">
        <v>75</v>
      </c>
      <c r="U54" s="1026" t="s">
        <v>363</v>
      </c>
      <c r="V54" s="1027"/>
      <c r="W54" s="443">
        <v>75</v>
      </c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U51:V51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42" sqref="B42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678"/>
      <c r="G1" s="677"/>
      <c r="H1" s="978" t="s">
        <v>268</v>
      </c>
      <c r="I1" s="979"/>
      <c r="J1" s="979"/>
      <c r="K1" s="979"/>
      <c r="L1" s="980"/>
    </row>
    <row r="2" spans="1:12" ht="26.25" customHeight="1">
      <c r="A2" s="4" t="s">
        <v>374</v>
      </c>
      <c r="B2" s="141"/>
      <c r="C2" s="5"/>
      <c r="D2" s="1033" t="s">
        <v>260</v>
      </c>
      <c r="E2" s="1033"/>
      <c r="F2" s="1034"/>
      <c r="G2" s="685"/>
      <c r="H2" s="440" t="str">
        <f>A2</f>
        <v>Ngày 18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686">
        <v>4</v>
      </c>
      <c r="J3" s="686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686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679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1100</v>
      </c>
      <c r="C32" s="278" t="str">
        <f>IF(INT(B32/200)&gt;=1,INT(B32/200)&amp;" thùng + "&amp;MOD(B32,200)&amp;" cái",VALUE(B32)&amp;"cái")</f>
        <v>5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500</v>
      </c>
      <c r="C38" s="278" t="str">
        <f>IF(INT(B38/1000)&gt;=1,INT(B38/1000)&amp;" thùng + "&amp;MOD(B38,1000)/100&amp;" túi ",VALUE(B38/100)&amp;"túi")</f>
        <v>5túi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>
        <v>100</v>
      </c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>
        <v>100</v>
      </c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>
        <v>100</v>
      </c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8" activePane="bottomLeft" state="frozen"/>
      <selection activeCell="Z27" sqref="Z27"/>
      <selection pane="bottomLeft" activeCell="Z19" sqref="Z1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689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691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690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382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19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19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19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19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692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697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692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692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696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696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699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698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00"/>
      <c r="K7" s="74" t="s">
        <v>63</v>
      </c>
      <c r="L7" s="74" t="s">
        <v>217</v>
      </c>
      <c r="M7" s="370" t="s">
        <v>230</v>
      </c>
      <c r="N7" s="932"/>
      <c r="O7" s="688" t="s">
        <v>63</v>
      </c>
      <c r="P7" s="688" t="s">
        <v>217</v>
      </c>
      <c r="Q7" s="371" t="s">
        <v>230</v>
      </c>
      <c r="S7" s="939"/>
      <c r="T7" s="74" t="s">
        <v>259</v>
      </c>
      <c r="U7" s="74" t="s">
        <v>217</v>
      </c>
      <c r="V7" s="688" t="s">
        <v>230</v>
      </c>
      <c r="W7" s="74" t="s">
        <v>63</v>
      </c>
      <c r="X7" s="74" t="s">
        <v>217</v>
      </c>
      <c r="Y7" s="688" t="s">
        <v>230</v>
      </c>
      <c r="Z7" s="315" t="s">
        <v>63</v>
      </c>
      <c r="AA7" s="688" t="s">
        <v>217</v>
      </c>
      <c r="AB7" s="394" t="s">
        <v>230</v>
      </c>
      <c r="AC7" s="420"/>
      <c r="AD7" s="1032"/>
      <c r="AE7" s="383" t="s">
        <v>63</v>
      </c>
      <c r="AF7" s="688" t="s">
        <v>217</v>
      </c>
      <c r="AG7" s="688" t="s">
        <v>230</v>
      </c>
      <c r="AH7" s="372" t="s">
        <v>63</v>
      </c>
      <c r="AI7" s="688" t="s">
        <v>217</v>
      </c>
      <c r="AJ7" s="688" t="s">
        <v>230</v>
      </c>
      <c r="AK7" s="687" t="s">
        <v>63</v>
      </c>
      <c r="AL7" s="340" t="s">
        <v>217</v>
      </c>
      <c r="AM7" s="420"/>
      <c r="AN7" s="1021"/>
      <c r="AO7" s="372" t="s">
        <v>63</v>
      </c>
      <c r="AP7" s="688" t="s">
        <v>217</v>
      </c>
      <c r="AQ7" s="688" t="s">
        <v>230</v>
      </c>
      <c r="AR7" s="688" t="s">
        <v>63</v>
      </c>
      <c r="AS7" s="688" t="s">
        <v>217</v>
      </c>
      <c r="AT7" s="688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/>
      <c r="U8" s="277" t="str">
        <f>IF(INT(T8/400)&gt;=1,INT(T8/400)&amp;" thùng + "&amp;MOD(T8,400)/50&amp;" túi ",VALUE(T8/50)&amp;"cái")</f>
        <v>0cái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900</v>
      </c>
      <c r="X9" s="278" t="str">
        <f>IF(INT(W9/4000)&gt;=1,INT(W9/4000)&amp;" thùng + "&amp;MOD(W9,4000)/100&amp;" túi ",VALUE(W9/100)&amp;"túi")</f>
        <v>9túi</v>
      </c>
      <c r="Y9" s="313"/>
      <c r="Z9" s="245">
        <v>489</v>
      </c>
      <c r="AA9" s="278" t="str">
        <f>IF(INT(Z9/4000)&gt;=1,INT(Z9/4000)&amp;" thùng + "&amp;MOD(Z9,4000)/100&amp;" túi ",VALUE(Z9/100)&amp;"túi")</f>
        <v>4.89túi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600</v>
      </c>
      <c r="AF10" s="278" t="str">
        <f>IF(INT(AE10/500)&gt;=1,INT(AE10/500)&amp;" thùng + "&amp;MOD(AE10,500)/100&amp;" túi ",VALUE(AE10/100)&amp;"túi")</f>
        <v xml:space="preserve">1 thùng + 1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1600</v>
      </c>
      <c r="L11" s="277" t="str">
        <f t="shared" ref="L11:L12" si="0">IF(INT(K11/2000)&gt;=1,INT(K11/2000)&amp;" thùng + "&amp;MOD(K11,2000)/100&amp;" túi ",VALUE(K11/100)&amp;"túi")</f>
        <v>16túi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820</v>
      </c>
      <c r="AA11" s="277" t="str">
        <f>IF(INT(Z11/3000)&gt;=1,INT(Z11/3000)&amp;" thùng + "&amp;MOD(Z11,3000)/100&amp;" túi ",VALUE(Z11/100)&amp;"túi")</f>
        <v>8.2túi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2800</v>
      </c>
      <c r="G12" s="277" t="str">
        <f>IF(INT(F12/2000)&gt;=1,INT(F12/2000)&amp;" thùng + "&amp;MOD(F12,2000)/100&amp;" túi ",VALUE(F12/100)&amp;"túi")</f>
        <v xml:space="preserve">1 thùng + 8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3000</v>
      </c>
      <c r="X12" s="278" t="str">
        <f t="shared" ref="X12" si="1">IF(INT(W12/2000)&gt;=1,INT(W12/2000)&amp;" thùng + "&amp;MOD(W12,2000)/100&amp;" túi ",VALUE(W12/100)&amp;"túi")</f>
        <v xml:space="preserve">1 thùng + 10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680</v>
      </c>
      <c r="AA13" s="277" t="str">
        <f>IF(INT(Z13/600)&gt;=1,INT(Z13/600)&amp;" thùng + "&amp;MOD(Z13,600)&amp;" cái ",VALUE(Z13)&amp;"cái")</f>
        <v xml:space="preserve">1 thùng + 80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680</v>
      </c>
      <c r="AA14" s="278" t="str">
        <f>IF(INT(Z14/400)&gt;=1,INT(Z14/400)&amp;" thùng + "&amp;MOD(Z14,400)&amp;" cái ",VALUE(Z14/100)&amp;"túi")</f>
        <v xml:space="preserve">1 thùng + 280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680</v>
      </c>
      <c r="AA15" s="277" t="str">
        <f>IF(INT(Z15/600)&gt;=1,INT(Z15/600)&amp;" thùng + "&amp;MOD(Z15,600)&amp;" cái ",VALUE(Z15)&amp;"cái")</f>
        <v xml:space="preserve">1 thùng + 80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680</v>
      </c>
      <c r="AA16" s="278" t="str">
        <f>IF(INT(Z16/400)&gt;=1,INT(Z16/400)&amp;" thùng + "&amp;MOD(Z16,400)&amp;" cái ",VALUE(Z16/100)&amp;"túi")</f>
        <v xml:space="preserve">1 thùng + 280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900</v>
      </c>
      <c r="X17" s="277" t="str">
        <f>IF(INT(W17/200)&gt;=1,INT(W17/200)&amp;" thùng + "&amp;MOD(W17,200)/50&amp;" túi ",VALUE(W17/50)&amp;"túi")</f>
        <v xml:space="preserve">4 thùng + 2 túi </v>
      </c>
      <c r="Y17" s="291"/>
      <c r="Z17" s="244">
        <v>680</v>
      </c>
      <c r="AA17" s="277" t="str">
        <f>IF(INT(Z17/200)&gt;=1,INT(Z17/200)&amp;" thùng + "&amp;MOD(Z17,200)&amp;" cái ",VALUE(Z17/50)&amp;"túi")</f>
        <v xml:space="preserve">3 thùng + 80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100</v>
      </c>
      <c r="AP17" s="277" t="str">
        <f>IF(INT(AO17/200)&gt;=1,INT(AO17/200)&amp;" thùng + "&amp;MOD(AO17,200)/50&amp;" túi",VALUE(AO17/50)&amp;"túi")</f>
        <v>2túi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600</v>
      </c>
      <c r="AF18" s="278" t="str">
        <f>IF(INT(AE18/1200)&gt;=1,INT(AE18/1200)&amp;" thùng + "&amp;MOD(AE18,1200)/100&amp;" túi ",VALUE(AE18/100)&amp;"túi")</f>
        <v>6túi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20100</v>
      </c>
      <c r="G19" s="277" t="str">
        <f>IF(INT(F19/4000)&gt;=1,INT(F19/4000)&amp;" thùng + "&amp;MOD(F19,4000)/100&amp;" túi ",VALUE(F19/100)&amp;"túi")</f>
        <v xml:space="preserve">5 thùng + 1 túi </v>
      </c>
      <c r="H19" s="346"/>
      <c r="J19" s="234" t="s">
        <v>113</v>
      </c>
      <c r="K19" s="242">
        <v>20400</v>
      </c>
      <c r="L19" s="277" t="str">
        <f>IF(INT(K19/4000)&gt;=1,INT(K19/4000)&amp;" thùng + "&amp;MOD(K19,4000)/100&amp;" túi ",VALUE(K19/100)&amp;"túi")</f>
        <v xml:space="preserve">5 thùng + 4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10800</v>
      </c>
      <c r="X19" s="277" t="str">
        <f>IF(INT(W19/4000)&gt;=1,INT(W19/4000)&amp;" thùng + "&amp;MOD(W19,4000)&amp;" cái ",VALUE(W19/100)&amp;"túi")</f>
        <v xml:space="preserve">2 thùng + 2800 cái </v>
      </c>
      <c r="Y19" s="291"/>
      <c r="Z19" s="244">
        <v>10780</v>
      </c>
      <c r="AA19" s="278" t="str">
        <f>IF(INT(Z19/4000)&gt;=1,INT(Z19/4000)&amp;" thùng + "&amp;MOD(Z19,4000)/100&amp;" túi ",VALUE(Z19/100)&amp;"túi")</f>
        <v xml:space="preserve">2 thùng + 27.8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</v>
      </c>
      <c r="AS19" s="277" t="str">
        <f>IF(INT(AR19/4000)&gt;=1,INT(AR19/4000)&amp;" thùng + "&amp;MOD(AR19,4000)&amp;" cái ",VALUE(AR19/100)&amp;"túi")</f>
        <v>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270</v>
      </c>
      <c r="AA21" s="278" t="str">
        <f>IF(INT(Z21/400)&gt;=1,INT(Z21/400)&amp;" thùng + "&amp;MOD(Z21,400)/100&amp;" túi ",VALUE(Z21/100)&amp;"túi")</f>
        <v>2.7túi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270</v>
      </c>
      <c r="AA23" s="277" t="str">
        <f>IF(INT(Z23/600)&gt;=1,INT(Z23/600)&amp;" thùng + "&amp;MOD(Z23,600)/100&amp;" túi ",VALUE(Z23/100)&amp;"túi")</f>
        <v>2.7túi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270</v>
      </c>
      <c r="AA24" s="277" t="str">
        <f>IF(INT(Z24/500)&gt;=1,INT(Z24/500)&amp;" thùng + "&amp;MOD(Z24,500)/100&amp;" túi ",VALUE(Z24/100)&amp;"túi")</f>
        <v>2.7túi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600</v>
      </c>
      <c r="AF25" s="277" t="str">
        <f>IF(INT(AE25/500)&gt;=1,INT(AE25/500)&amp;" thùng + "&amp;MOD(AE25,500)/100&amp;" túi ",VALUE(AE25/100)&amp;"túi")</f>
        <v xml:space="preserve">1 thùng + 1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/>
      <c r="U26" s="278" t="str">
        <f>IF(INT(T26/4000)&gt;=1,INT(T26/4000)&amp;" thùng + "&amp;MOD(T26,4000)/100&amp;" túi ",VALUE(T26/100)&amp;"túi")</f>
        <v>0túi</v>
      </c>
      <c r="V26" s="291"/>
      <c r="W26" s="244">
        <v>4330</v>
      </c>
      <c r="X26" s="278" t="str">
        <f>IF(INT(W26/4000)&gt;=1,INT(W26/4000)&amp;" thùng + "&amp;MOD(W26,4000)/100&amp;" túi ",VALUE(W26/100)&amp;"túi")</f>
        <v xml:space="preserve">1 thùng + 3.3 túi 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600</v>
      </c>
      <c r="AF26" s="288" t="str">
        <f>IF(INT(AE26/4000)&gt;=1,INT(AE26/4000)&amp;" thùng + "&amp;MOD(AE26,4000)/100&amp;" túi ",VALUE(AE26/100)&amp;"túi")</f>
        <v>6túi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/>
      <c r="AS26" s="385" t="str">
        <f>IF(INT(AR26/4000)&gt;=1,INT(AR26/4000)&amp;" thùng + "&amp;MOD(AR26,4000)/100&amp;" túi ",VALUE(AR26/100)&amp;"túi")</f>
        <v>0túi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1500</v>
      </c>
      <c r="P27" s="363" t="str">
        <f>IF(INT(O27/50)&gt;=1,INT(O27/50)&amp;" thùng + "&amp;MOD(O27,50)&amp;" cái ",VALUE(O27/50)&amp;"cái")</f>
        <v xml:space="preserve">30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540</v>
      </c>
      <c r="AA27" s="278" t="str">
        <f>IF(INT(Z27/400)&gt;=1,INT(Z27/400)&amp;" thùng + "&amp;MOD(Z27,400)/100&amp;" túi ",VALUE(Z27/100)&amp;"túi")</f>
        <v xml:space="preserve">1 thùng + 1.4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200</v>
      </c>
      <c r="AS27" s="278" t="str">
        <f t="shared" ref="AS27" si="6">IF(INT(AR27/2000)&gt;=1,INT(AR27/2000)&amp;" thùng + "&amp;MOD(AR27,2000)/100&amp;" túi ",VALUE(AR27/100)&amp;"túi")</f>
        <v>2túi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270</v>
      </c>
      <c r="AA28" s="278" t="str">
        <f>IF(INT(Z28/1000)&gt;=1,INT(Z28/1000)&amp;" thùng + "&amp;MOD(Z28,1000)/100&amp;" túi ",VALUE(Z28/100)&amp;"túi")</f>
        <v>2.7túi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270</v>
      </c>
      <c r="AA29" s="278" t="str">
        <f>IF(INT(Z29/200)&gt;=1,INT(Z29/200)&amp;" thùng + "&amp;MOD(Z29,200)/50&amp;" túi ",VALUE(Z29/50)&amp;"túi")</f>
        <v xml:space="preserve">1 thùng + 1.4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1000</v>
      </c>
      <c r="L30" s="363" t="str">
        <f>IF(INT(K30/100)&gt;=1,INT(K30/100)&amp;" thùng + "&amp;MOD(K30,100)&amp;" cái ",VALUE(K30/100)&amp;"cái")</f>
        <v xml:space="preserve">10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800</v>
      </c>
      <c r="AS30" s="278" t="str">
        <f t="shared" ref="AS30" si="7">IF(INT(AR30/2000)&gt;=1,INT(AR30/2000)&amp;" thùng + "&amp;MOD(AR30,2000)/100&amp;" túi ",VALUE(AR30/100)&amp;"túi")</f>
        <v>8túi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410</v>
      </c>
      <c r="AA31" s="363" t="str">
        <f>IF(INT(Z31/20)&gt;=1,INT(Z31/20)&amp;" thùng + "&amp;MOD(Z31,20)&amp;" cái ",VALUE(Z31/20)&amp;"cái")</f>
        <v xml:space="preserve">20 thùng + 10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3400</v>
      </c>
      <c r="C32" s="277" t="str">
        <f>IF(INT(B32/100)&gt;=1,INT(B32/100)&amp;" thùng + "&amp;MOD(B32,100)/100&amp;" cái ",VALUE(B32/100)&amp;"cái")</f>
        <v xml:space="preserve">34 thùng + 0 cái </v>
      </c>
      <c r="D32" s="291"/>
      <c r="E32" s="71"/>
      <c r="F32" s="244"/>
      <c r="G32" s="280"/>
      <c r="H32" s="352"/>
      <c r="J32" s="206" t="s">
        <v>19</v>
      </c>
      <c r="K32" s="326">
        <v>1000</v>
      </c>
      <c r="L32" s="363" t="str">
        <f>IF(INT(K32/100)&gt;=1,INT(K32/100)&amp;" thùng + "&amp;MOD(K32,100)&amp;" cái ",VALUE(K32/100)&amp;"cái")</f>
        <v xml:space="preserve">10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410</v>
      </c>
      <c r="AA32" s="278" t="str">
        <f>IF(INT(Z32/200)&gt;=1,INT(Z32/200)&amp;" thùng + "&amp;MOD(Z32,200)/20&amp;" túi ",VALUE(Z32)&amp;"cái")</f>
        <v xml:space="preserve">2 thùng + 0.5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1800</v>
      </c>
      <c r="X33" s="278" t="str">
        <f>IF(INT(W33/300)&gt;=1,INT(W33/300)&amp;" thùng + "&amp;MOD(W33,300)/100&amp;" túi ",VALUE(W33/100)&amp;"túi")</f>
        <v xml:space="preserve">6 thùng + 0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700</v>
      </c>
      <c r="L34" s="277" t="str">
        <f>IF(INT(K34/1000)&gt;=1,INT(K34/1000)&amp;" thùng + "&amp;MOD(K34,1000)/100&amp;" túi ",VALUE(K34/100)&amp;"túi")</f>
        <v>7túi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900</v>
      </c>
      <c r="X34" s="278" t="str">
        <f>IF(INT(W34/1000)&gt;=1,INT(W34/1000)&amp;" thùng + "&amp;MOD(W34,1000)/100&amp;" túi ",VALUE(W34/100)&amp;"túi")</f>
        <v>9túi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540</v>
      </c>
      <c r="AA35" s="278" t="str">
        <f>IF(INT(Z35/4000)&gt;=1,INT(Z35/4000)&amp;" thùng + "&amp;MOD(Z35,4000)/100&amp;" túi ",VALUE(Z35/100)&amp;"túi")</f>
        <v>5.4túi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540</v>
      </c>
      <c r="AA36" s="277" t="str">
        <f>IF(INT(Z36/50)&gt;=1,INT(Z36/50)&amp;" thùng + "&amp;MOD(Z36,50)&amp;" cái ",VALUE(Z36)&amp;"cái")</f>
        <v xml:space="preserve">10 thùng + 40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489</v>
      </c>
      <c r="AA37" s="277" t="str">
        <f>IF(INT(Z37/1000)&gt;=1,INT(Z37/1000)&amp;" thùng + "&amp;MOD(Z37,1000)/100&amp;" túi ",VALUE(Z37/100)&amp;"túi")</f>
        <v>4.89túi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1080</v>
      </c>
      <c r="AA38" s="278" t="str">
        <f>IF(INT(Z38/3000)&gt;=1,INT(Z38/3000)&amp;" thùng + "&amp;MOD(Z38,3000)/100&amp;" túi ",VALUE(Z38/100)&amp;"túi")</f>
        <v>10.8túi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270</v>
      </c>
      <c r="AA39" s="278" t="str">
        <f t="shared" ref="AA39" si="9">IF(INT(Z39/2000)&gt;=1,INT(Z39/2000)&amp;" thùng + "&amp;MOD(Z39,2000)/100&amp;" túi ",VALUE(Z39/100)&amp;"túi")</f>
        <v>2.7túi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410</v>
      </c>
      <c r="AA41" s="277" t="str">
        <f>IF(INT(Z41/100)&gt;=1,INT(Z41/100)&amp;" thùng + "&amp;MOD(Z41,100)/50&amp;" túi ",VALUE(Z41)&amp;"cái")</f>
        <v xml:space="preserve">4 thùng + 0.2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820</v>
      </c>
      <c r="AA42" s="278" t="str">
        <f>IF(INT(Z42/3000)&gt;=1,INT(Z42/3000)&amp;" thùng + "&amp;MOD(Z42,3000)/100&amp;" túi ",VALUE(Z42/100)&amp;"túi")</f>
        <v>8.2túi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410</v>
      </c>
      <c r="AA43" s="277" t="str">
        <f>IF(INT(Z43/1000)&gt;=1,INT(Z43/1000)&amp;" thùng + "&amp;MOD(Z43,1000)/100&amp;" túi ",VALUE(Z43/100)&amp;"túi")</f>
        <v>4.1túi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410</v>
      </c>
      <c r="AA44" s="278" t="str">
        <f>IF(INT(Z44/4000)&gt;=1,INT(Z44/4000)&amp;" thùng + "&amp;MOD(Z44,4000)/100&amp;" túi ",VALUE(Z44/100)&amp;"túi")</f>
        <v>4.1túi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900</v>
      </c>
      <c r="X47" s="278" t="str">
        <f>IF(INT(W47/50)&gt;=1,INT(W47/50)&amp;" thùng + "&amp;MOD(W47,50)/10&amp;" túi ",VALUE(W47/10)&amp;"túi")</f>
        <v xml:space="preserve">18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600</v>
      </c>
      <c r="AF49" s="278" t="str">
        <f>IF(INT(AE49/200)&gt;=1,INT(AE49/200)&amp;" thùng + "&amp;MOD(AE49,200)/100&amp;" túi ",VALUE(AE49)&amp;"cái")</f>
        <v xml:space="preserve">3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110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110</v>
      </c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292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/>
      <c r="AP54" s="389" t="str">
        <f>IF(INT(AO54/3000)&gt;=1,INT(AO54/3000)&amp;" thùng + "&amp;MOD(AO54,3000)/100&amp;" túi ",VALUE(AO54/100)&amp;"túi")</f>
        <v>0túi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694"/>
      <c r="G1" s="693"/>
      <c r="H1" s="978" t="s">
        <v>268</v>
      </c>
      <c r="I1" s="979"/>
      <c r="J1" s="979"/>
      <c r="K1" s="979"/>
      <c r="L1" s="980"/>
    </row>
    <row r="2" spans="1:12" ht="26.25" customHeight="1">
      <c r="A2" s="4" t="s">
        <v>382</v>
      </c>
      <c r="B2" s="141"/>
      <c r="C2" s="5"/>
      <c r="D2" s="1033" t="s">
        <v>260</v>
      </c>
      <c r="E2" s="1033"/>
      <c r="F2" s="1034"/>
      <c r="G2" s="701"/>
      <c r="H2" s="440" t="str">
        <f>A2</f>
        <v>Ngày 19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02">
        <v>4</v>
      </c>
      <c r="J3" s="702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02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695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900</v>
      </c>
      <c r="C32" s="278" t="str">
        <f>IF(INT(B32/200)&gt;=1,INT(B32/200)&amp;" thùng + "&amp;MOD(B32,200)&amp;" cái",VALUE(B32)&amp;"cái")</f>
        <v>4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8" activePane="bottomLeft" state="frozen"/>
      <selection activeCell="Z27" sqref="Z27"/>
      <selection pane="bottomLeft" activeCell="Z20" sqref="Z20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706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708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707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383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20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20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20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20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709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714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709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709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713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713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716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715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17"/>
      <c r="K7" s="74" t="s">
        <v>63</v>
      </c>
      <c r="L7" s="74" t="s">
        <v>217</v>
      </c>
      <c r="M7" s="370" t="s">
        <v>230</v>
      </c>
      <c r="N7" s="932"/>
      <c r="O7" s="705" t="s">
        <v>63</v>
      </c>
      <c r="P7" s="705" t="s">
        <v>217</v>
      </c>
      <c r="Q7" s="371" t="s">
        <v>230</v>
      </c>
      <c r="S7" s="939"/>
      <c r="T7" s="74" t="s">
        <v>259</v>
      </c>
      <c r="U7" s="74" t="s">
        <v>217</v>
      </c>
      <c r="V7" s="705" t="s">
        <v>230</v>
      </c>
      <c r="W7" s="74" t="s">
        <v>63</v>
      </c>
      <c r="X7" s="74" t="s">
        <v>217</v>
      </c>
      <c r="Y7" s="705" t="s">
        <v>230</v>
      </c>
      <c r="Z7" s="315" t="s">
        <v>63</v>
      </c>
      <c r="AA7" s="705" t="s">
        <v>217</v>
      </c>
      <c r="AB7" s="394" t="s">
        <v>230</v>
      </c>
      <c r="AC7" s="420"/>
      <c r="AD7" s="1032"/>
      <c r="AE7" s="383" t="s">
        <v>63</v>
      </c>
      <c r="AF7" s="705" t="s">
        <v>217</v>
      </c>
      <c r="AG7" s="705" t="s">
        <v>230</v>
      </c>
      <c r="AH7" s="372" t="s">
        <v>63</v>
      </c>
      <c r="AI7" s="705" t="s">
        <v>217</v>
      </c>
      <c r="AJ7" s="705" t="s">
        <v>230</v>
      </c>
      <c r="AK7" s="704" t="s">
        <v>63</v>
      </c>
      <c r="AL7" s="340" t="s">
        <v>217</v>
      </c>
      <c r="AM7" s="420"/>
      <c r="AN7" s="1021"/>
      <c r="AO7" s="372" t="s">
        <v>63</v>
      </c>
      <c r="AP7" s="705" t="s">
        <v>217</v>
      </c>
      <c r="AQ7" s="705" t="s">
        <v>230</v>
      </c>
      <c r="AR7" s="705" t="s">
        <v>63</v>
      </c>
      <c r="AS7" s="705" t="s">
        <v>217</v>
      </c>
      <c r="AT7" s="705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1000</v>
      </c>
      <c r="U8" s="277" t="str">
        <f>IF(INT(T8/400)&gt;=1,INT(T8/400)&amp;" thùng + "&amp;MOD(T8,400)/50&amp;" túi ",VALUE(T8/50)&amp;"cái")</f>
        <v xml:space="preserve">2 thùng + 4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390</v>
      </c>
      <c r="AI8" s="276" t="str">
        <f>IF(INT(AH8/4000)&gt;=1,INT(AH8/4000)&amp;" thùng + "&amp;MOD(AH8,4000)/100&amp;" túi ",VALUE(AH8/100)&amp;"túi")</f>
        <v>3.9túi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900</v>
      </c>
      <c r="X9" s="278" t="str">
        <f>IF(INT(W9/4000)&gt;=1,INT(W9/4000)&amp;" thùng + "&amp;MOD(W9,4000)/100&amp;" túi ",VALUE(W9/100)&amp;"túi")</f>
        <v>9túi</v>
      </c>
      <c r="Y9" s="313"/>
      <c r="Z9" s="245">
        <v>300</v>
      </c>
      <c r="AA9" s="278" t="str">
        <f>IF(INT(Z9/4000)&gt;=1,INT(Z9/4000)&amp;" thùng + "&amp;MOD(Z9,4000)/100&amp;" túi ",VALUE(Z9/100)&amp;"túi")</f>
        <v>3túi</v>
      </c>
      <c r="AB9" s="397"/>
      <c r="AC9" s="422"/>
      <c r="AD9" s="112" t="s">
        <v>238</v>
      </c>
      <c r="AE9" s="242"/>
      <c r="AF9" s="279"/>
      <c r="AG9" s="293"/>
      <c r="AH9" s="242">
        <v>390</v>
      </c>
      <c r="AI9" s="277" t="str">
        <f>IF(INT(AH9/500)&gt;=1,INT(AH9/500)&amp;" thùng + "&amp;MOD(AH9,500)/100&amp;" túi ",VALUE(AH9/100)&amp;"túi")</f>
        <v>3.9túi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1100</v>
      </c>
      <c r="AF10" s="278" t="str">
        <f>IF(INT(AE10/500)&gt;=1,INT(AE10/500)&amp;" thùng + "&amp;MOD(AE10,500)/100&amp;" túi ",VALUE(AE10/100)&amp;"túi")</f>
        <v xml:space="preserve">2 thùng + 1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820</v>
      </c>
      <c r="AA11" s="277" t="str">
        <f>IF(INT(Z11/3000)&gt;=1,INT(Z11/3000)&amp;" thùng + "&amp;MOD(Z11,3000)/100&amp;" túi ",VALUE(Z11/100)&amp;"túi")</f>
        <v>8.2túi</v>
      </c>
      <c r="AB11" s="398"/>
      <c r="AC11" s="423"/>
      <c r="AD11" s="112" t="s">
        <v>57</v>
      </c>
      <c r="AE11" s="330">
        <v>600</v>
      </c>
      <c r="AF11" s="277" t="str">
        <f>IF(INT(AE11/2000)&gt;=1,INT(AE11/2000)&amp;" thùng + "&amp;MOD(AE11,2000)/100&amp;" túi ",VALUE(AE11)&amp;"cái")</f>
        <v>600cái</v>
      </c>
      <c r="AG11" s="291"/>
      <c r="AH11" s="242">
        <v>1000</v>
      </c>
      <c r="AI11" s="277" t="str">
        <f>IF(INT(AH11/2000)&gt;=1,INT(AH11/2000)&amp;" thùng + "&amp;MOD(AH11,2000)/100&amp;" túi ",VALUE(AH11/100)&amp;"túi")</f>
        <v>10túi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2600</v>
      </c>
      <c r="X12" s="278" t="str">
        <f t="shared" ref="X12" si="1">IF(INT(W12/2000)&gt;=1,INT(W12/2000)&amp;" thùng + "&amp;MOD(W12,2000)/100&amp;" túi ",VALUE(W12/100)&amp;"túi")</f>
        <v xml:space="preserve">1 thùng + 6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800</v>
      </c>
      <c r="L13" s="278" t="str">
        <f>IF(INT(K13/600)&gt;=1,INT(K13/600)&amp;" thùng + "&amp;MOD(K13,600)/100&amp;" túi ",VALUE(K13/100)&amp;"túi")</f>
        <v xml:space="preserve">1 thùng + 2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699</v>
      </c>
      <c r="AA13" s="277" t="str">
        <f>IF(INT(Z13/600)&gt;=1,INT(Z13/600)&amp;" thùng + "&amp;MOD(Z13,600)&amp;" cái ",VALUE(Z13)&amp;"cái")</f>
        <v xml:space="preserve">1 thùng + 99 cái </v>
      </c>
      <c r="AB13" s="398"/>
      <c r="AC13" s="423"/>
      <c r="AD13" s="112" t="s">
        <v>51</v>
      </c>
      <c r="AE13" s="330">
        <v>300</v>
      </c>
      <c r="AF13" s="277" t="str">
        <f>IF(INT(AE13/600)&gt;=1,INT(AE13/600)&amp;" thùng + "&amp;MOD(AE13,600)&amp;" cái ",VALUE(AE13/100)&amp;"túi")</f>
        <v>3túi</v>
      </c>
      <c r="AG13" s="293"/>
      <c r="AH13" s="242" t="s">
        <v>162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800</v>
      </c>
      <c r="L14" s="278" t="str">
        <f>IF(INT(K14/400)&gt;=1,INT(K14/400)&amp;" thùng + "&amp;MOD(K14,400)/100&amp;" túi ",VALUE(K14/100)&amp;"túi")</f>
        <v xml:space="preserve">2 thùng + 0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699</v>
      </c>
      <c r="AA14" s="278" t="str">
        <f>IF(INT(Z14/400)&gt;=1,INT(Z14/400)&amp;" thùng + "&amp;MOD(Z14,400)&amp;" cái ",VALUE(Z14/100)&amp;"túi")</f>
        <v xml:space="preserve">1 thùng + 299 cái </v>
      </c>
      <c r="AB14" s="397"/>
      <c r="AC14" s="422"/>
      <c r="AD14" s="100" t="s">
        <v>52</v>
      </c>
      <c r="AE14" s="244">
        <v>300</v>
      </c>
      <c r="AF14" s="277" t="str">
        <f>IF(INT(AE14/600)&gt;=1,INT(AE14/600)&amp;" thùng + "&amp;MOD(AE14,600)&amp;" cái ",VALUE(AE14/100)&amp;"túi")</f>
        <v>3túi</v>
      </c>
      <c r="AG14" s="294"/>
      <c r="AH14" s="244" t="s">
        <v>162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800</v>
      </c>
      <c r="L15" s="278" t="str">
        <f>IF(INT(K15/600)&gt;=1,INT(K15/600)&amp;" thùng + "&amp;MOD(K15,600)/100&amp;" túi ",VALUE(K15/100)&amp;"túi")</f>
        <v xml:space="preserve">1 thùng + 2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699</v>
      </c>
      <c r="AA15" s="277" t="str">
        <f>IF(INT(Z15/600)&gt;=1,INT(Z15/600)&amp;" thùng + "&amp;MOD(Z15,600)&amp;" cái ",VALUE(Z15)&amp;"cái")</f>
        <v xml:space="preserve">1 thùng + 99 cái </v>
      </c>
      <c r="AB15" s="398"/>
      <c r="AC15" s="423"/>
      <c r="AD15" s="116" t="s">
        <v>61</v>
      </c>
      <c r="AE15" s="242">
        <v>300</v>
      </c>
      <c r="AF15" s="277" t="str">
        <f>IF(INT(AE15/600)&gt;=1,INT(AE15/600)&amp;" thùng + "&amp;MOD(AE15,600)&amp;" cái ",VALUE(AE15/100)&amp;"túi")</f>
        <v>3túi</v>
      </c>
      <c r="AG15" s="293"/>
      <c r="AH15" s="242">
        <v>500</v>
      </c>
      <c r="AI15" s="277" t="str">
        <f>IF(INT(AH15/600)&gt;=1,INT(AH15/600)&amp;" thùng + "&amp;MOD(AH15,600)/100&amp;" túi ",VALUE(AH15/100)&amp;"túi")</f>
        <v>5túi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800</v>
      </c>
      <c r="L16" s="278" t="str">
        <f>IF(INT(K16/400)&gt;=1,INT(K16/400)&amp;" thùng + "&amp;MOD(K16,400)/100&amp;" túi ",VALUE(K16/100)&amp;"túi")</f>
        <v xml:space="preserve">2 thùng + 0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699</v>
      </c>
      <c r="AA16" s="278" t="str">
        <f>IF(INT(Z16/400)&gt;=1,INT(Z16/400)&amp;" thùng + "&amp;MOD(Z16,400)&amp;" cái ",VALUE(Z16/100)&amp;"túi")</f>
        <v xml:space="preserve">1 thùng + 299 cái </v>
      </c>
      <c r="AB16" s="397"/>
      <c r="AC16" s="422"/>
      <c r="AD16" s="100" t="s">
        <v>62</v>
      </c>
      <c r="AE16" s="244">
        <v>300</v>
      </c>
      <c r="AF16" s="277" t="str">
        <f>IF(INT(AE16/600)&gt;=1,INT(AE16/600)&amp;" thùng + "&amp;MOD(AE16,600)&amp;" cái ",VALUE(AE16/100)&amp;"túi")</f>
        <v>3túi</v>
      </c>
      <c r="AG16" s="294"/>
      <c r="AH16" s="244" t="s">
        <v>162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800</v>
      </c>
      <c r="L17" s="277" t="str">
        <f>IF(INT(K17/200)&gt;=1,INT(K17/200)&amp;" thùng + "&amp;MOD(K17,200)/50&amp;" túi ",VALUE(K17/50)&amp;"túi")</f>
        <v xml:space="preserve">4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699</v>
      </c>
      <c r="AA17" s="277" t="str">
        <f>IF(INT(Z17/200)&gt;=1,INT(Z17/200)&amp;" thùng + "&amp;MOD(Z17,200)&amp;" cái ",VALUE(Z17/50)&amp;"túi")</f>
        <v xml:space="preserve">3 thùng + 99 cái </v>
      </c>
      <c r="AB17" s="398"/>
      <c r="AC17" s="423"/>
      <c r="AD17" s="116" t="s">
        <v>74</v>
      </c>
      <c r="AE17" s="242">
        <v>300</v>
      </c>
      <c r="AF17" s="277" t="str">
        <f>IF(INT(AE17/200)&gt;=1,INT(AE17/200)&amp;" thùng + "&amp;MOD(AE17,200)/50&amp;" túi",VALUE(AE17/50)&amp;"túi")</f>
        <v>1 thùng + 2 túi</v>
      </c>
      <c r="AG17" s="293"/>
      <c r="AH17" s="244">
        <v>500</v>
      </c>
      <c r="AI17" s="277" t="str">
        <f>IF(INT(AH17/200)&gt;=1,INT(AH17/200)&amp;" thùng + "&amp;MOD(AH17,200)/50&amp;" túi ",VALUE(AH17/50)&amp;"túi")</f>
        <v xml:space="preserve">2 thùng + 2 túi </v>
      </c>
      <c r="AJ17" s="291"/>
      <c r="AK17" s="227"/>
      <c r="AL17" s="91"/>
      <c r="AM17" s="430"/>
      <c r="AN17" s="117" t="s">
        <v>74</v>
      </c>
      <c r="AO17" s="242">
        <v>300</v>
      </c>
      <c r="AP17" s="277" t="str">
        <f>IF(INT(AO17/200)&gt;=1,INT(AO17/200)&amp;" thùng + "&amp;MOD(AO17,200)/50&amp;" túi",VALUE(AO17/50)&amp;"túi")</f>
        <v>1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800</v>
      </c>
      <c r="L18" s="278" t="str">
        <f>IF(INT(K18/1200)&gt;=1,INT(K18/1200)&amp;" thùng + "&amp;MOD(K18,1200)/100&amp;" túi ",VALUE(K18/100)&amp;"túi")</f>
        <v>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1100</v>
      </c>
      <c r="AF18" s="278" t="str">
        <f>IF(INT(AE18/1200)&gt;=1,INT(AE18/1200)&amp;" thùng + "&amp;MOD(AE18,1200)/100&amp;" túi ",VALUE(AE18/100)&amp;"túi")</f>
        <v>11túi</v>
      </c>
      <c r="AG18" s="292"/>
      <c r="AH18" s="244">
        <v>390</v>
      </c>
      <c r="AI18" s="277" t="str">
        <f>IF(INT(AH18/600)&gt;=1,INT(AH18/600)&amp;" thùng + "&amp;MOD(AH18,600)&amp;" cái ",VALUE(AH18/100)&amp;"túi")</f>
        <v>3.9túi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9400</v>
      </c>
      <c r="C19" s="277" t="str">
        <f>IF(INT(B19/4000)&gt;=1,INT(B19/4000)&amp;" thùng + "&amp;MOD(B19,4000)/100&amp;" túi ",VALUE(B19/100)&amp;"túi")</f>
        <v xml:space="preserve">2 thùng + 14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18600</v>
      </c>
      <c r="L19" s="277" t="str">
        <f>IF(INT(K19/4000)&gt;=1,INT(K19/4000)&amp;" thùng + "&amp;MOD(K19,4000)/100&amp;" túi ",VALUE(K19/100)&amp;"túi")</f>
        <v xml:space="preserve">4 thùng + 26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9600</v>
      </c>
      <c r="X19" s="277" t="str">
        <f>IF(INT(W19/4000)&gt;=1,INT(W19/4000)&amp;" thùng + "&amp;MOD(W19,4000)&amp;" cái ",VALUE(W19/100)&amp;"túi")</f>
        <v xml:space="preserve">2 thùng + 1600 cái </v>
      </c>
      <c r="Y19" s="291"/>
      <c r="Z19" s="244">
        <v>10875</v>
      </c>
      <c r="AA19" s="278" t="str">
        <f>IF(INT(Z19/4000)&gt;=1,INT(Z19/4000)&amp;" thùng + "&amp;MOD(Z19,4000)/100&amp;" túi ",VALUE(Z19/100)&amp;"túi")</f>
        <v xml:space="preserve">2 thùng + 28.75 túi </v>
      </c>
      <c r="AB19" s="399"/>
      <c r="AC19" s="423"/>
      <c r="AD19" s="412" t="s">
        <v>113</v>
      </c>
      <c r="AE19" s="242">
        <v>2400</v>
      </c>
      <c r="AF19" s="277" t="str">
        <f>IF(INT(AE19/4000)&gt;=1,INT(AE19/4000)&amp;" thùng + "&amp;MOD(AE19,4000)&amp;" cái ",VALUE(AE19/100)&amp;"túi")</f>
        <v>24túi</v>
      </c>
      <c r="AG19" s="293"/>
      <c r="AH19" s="242">
        <v>3500</v>
      </c>
      <c r="AI19" s="277" t="str">
        <f>IF(INT(AH19/4000)&gt;=1,INT(AH19/4000)&amp;" thùng + "&amp;MOD(AH19,4000)&amp;" cái ",VALUE(AH19/100)&amp;"túi")</f>
        <v>35túi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</v>
      </c>
      <c r="AS19" s="277" t="str">
        <f>IF(INT(AR19/4000)&gt;=1,INT(AR19/4000)&amp;" thùng + "&amp;MOD(AR19,4000)&amp;" cái ",VALUE(AR19/100)&amp;"túi")</f>
        <v>1túi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1000</v>
      </c>
      <c r="AI20" s="278" t="str">
        <f>IF(INT(AH20/2000)&gt;=1,INT(AH20/2000)&amp;" thùng + "&amp;MOD(AH20,2000)/100&amp;" túi ",VALUE(AH20/100)&amp;"túi")</f>
        <v>10túi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289</v>
      </c>
      <c r="AA21" s="278" t="str">
        <f>IF(INT(Z21/400)&gt;=1,INT(Z21/400)&amp;" thùng + "&amp;MOD(Z21,400)/100&amp;" túi ",VALUE(Z21/100)&amp;"túi")</f>
        <v>2.89túi</v>
      </c>
      <c r="AB21" s="398"/>
      <c r="AC21" s="423"/>
      <c r="AD21" s="116" t="s">
        <v>56</v>
      </c>
      <c r="AE21" s="250"/>
      <c r="AF21" s="286"/>
      <c r="AG21" s="305"/>
      <c r="AH21" s="250">
        <v>1000</v>
      </c>
      <c r="AI21" s="277" t="str">
        <f>IF(INT(AH21/100)&gt;=1,INT(AH21/100)&amp;" thùng + "&amp;MOD(AH21,100)/100&amp;" túi ",VALUE(AH21/100)&amp;"túi")</f>
        <v xml:space="preserve">10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1000</v>
      </c>
      <c r="AI22" s="278" t="str">
        <f>IF(INT(AH22/100)&gt;=1,INT(AH22/100)&amp;" thùng + "&amp;MOD(AH22,100)/100&amp;" túi ",VALUE(AH22/100)&amp;"túi")</f>
        <v xml:space="preserve">10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289</v>
      </c>
      <c r="AA23" s="277" t="str">
        <f>IF(INT(Z23/600)&gt;=1,INT(Z23/600)&amp;" thùng + "&amp;MOD(Z23,600)/100&amp;" túi ",VALUE(Z23/100)&amp;"túi")</f>
        <v>2.89túi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300</v>
      </c>
      <c r="AS23" s="277" t="str">
        <f>IF(INT(AR23/400)&gt;=1,INT(AR23/400)&amp;" thùng + "&amp;MOD(AR23,400)&amp;" cái ",VALUE(AR23)&amp;"cái")</f>
        <v>300cái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289</v>
      </c>
      <c r="AA24" s="277" t="str">
        <f>IF(INT(Z24/500)&gt;=1,INT(Z24/500)&amp;" thùng + "&amp;MOD(Z24,500)/100&amp;" túi ",VALUE(Z24/100)&amp;"túi")</f>
        <v>2.89túi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300</v>
      </c>
      <c r="AS24" s="277" t="str">
        <f>IF(INT(AR24/250)&gt;=1,INT(AR24/250)&amp;" thùng + "&amp;MOD(AR24,250)&amp;" cái ",VALUE(AR24)&amp;"cái")</f>
        <v xml:space="preserve">1 thùng + 50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1000</v>
      </c>
      <c r="U26" s="278" t="str">
        <f>IF(INT(T26/4000)&gt;=1,INT(T26/4000)&amp;" thùng + "&amp;MOD(T26,4000)/100&amp;" túi ",VALUE(T26/100)&amp;"túi")</f>
        <v>10túi</v>
      </c>
      <c r="V26" s="291"/>
      <c r="W26" s="244">
        <v>3330</v>
      </c>
      <c r="X26" s="278" t="str">
        <f>IF(INT(W26/4000)&gt;=1,INT(W26/4000)&amp;" thùng + "&amp;MOD(W26,4000)/100&amp;" túi ",VALUE(W26/100)&amp;"túi")</f>
        <v>33.3túi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1100</v>
      </c>
      <c r="AF26" s="288" t="str">
        <f>IF(INT(AE26/4000)&gt;=1,INT(AE26/4000)&amp;" thùng + "&amp;MOD(AE26,4000)/100&amp;" túi ",VALUE(AE26/100)&amp;"túi")</f>
        <v>11túi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/>
      <c r="AS26" s="385" t="str">
        <f>IF(INT(AR26/4000)&gt;=1,INT(AR26/4000)&amp;" thùng + "&amp;MOD(AR26,4000)/100&amp;" túi ",VALUE(AR26/100)&amp;"túi")</f>
        <v>0túi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1000</v>
      </c>
      <c r="C27" s="363" t="str">
        <f>IF(INT(B27/50)&gt;=1,INT(B27/50)&amp;" thùng + "&amp;MOD(B27,50)&amp;" cái ",VALUE(B27/50)&amp;"cái")</f>
        <v xml:space="preserve">20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578</v>
      </c>
      <c r="AA27" s="278" t="str">
        <f>IF(INT(Z27/400)&gt;=1,INT(Z27/400)&amp;" thùng + "&amp;MOD(Z27,400)/100&amp;" túi ",VALUE(Z27/100)&amp;"túi")</f>
        <v xml:space="preserve">1 thùng + 1.78 túi </v>
      </c>
      <c r="AB27" s="398"/>
      <c r="AC27" s="423"/>
      <c r="AD27" s="116" t="s">
        <v>9</v>
      </c>
      <c r="AE27" s="250">
        <v>300</v>
      </c>
      <c r="AF27" s="363" t="str">
        <f>IF(INT(AE27/50)&gt;=1,INT(AE27/50)&amp;" thùng + "&amp;MOD(AE27,50)&amp;" cái ",VALUE(AE27/50)&amp;"cái")</f>
        <v xml:space="preserve">6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200</v>
      </c>
      <c r="AS27" s="278" t="str">
        <f t="shared" ref="AS27" si="6">IF(INT(AR27/2000)&gt;=1,INT(AR27/2000)&amp;" thùng + "&amp;MOD(AR27,2000)/100&amp;" túi ",VALUE(AR27/100)&amp;"túi")</f>
        <v>2túi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>
        <v>4560</v>
      </c>
      <c r="C28" s="277" t="str">
        <f>IF(INT(B28/3000)&gt;=1,INT(B28/3000)&amp;" thùng + "&amp;MOD(B28,3000)/100&amp;" túi ",VALUE(B28/100)&amp;"túi")</f>
        <v xml:space="preserve">1 thùng + 15.6 túi 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289</v>
      </c>
      <c r="AA28" s="278" t="str">
        <f>IF(INT(Z28/1000)&gt;=1,INT(Z28/1000)&amp;" thùng + "&amp;MOD(Z28,1000)/100&amp;" túi ",VALUE(Z28/100)&amp;"túi")</f>
        <v>2.89túi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289</v>
      </c>
      <c r="AA29" s="278" t="str">
        <f>IF(INT(Z29/200)&gt;=1,INT(Z29/200)&amp;" thùng + "&amp;MOD(Z29,200)/50&amp;" túi ",VALUE(Z29/50)&amp;"túi")</f>
        <v xml:space="preserve">1 thùng + 1.78 túi </v>
      </c>
      <c r="AB29" s="398"/>
      <c r="AC29" s="423"/>
      <c r="AD29" s="112" t="s">
        <v>53</v>
      </c>
      <c r="AE29" s="250">
        <v>600</v>
      </c>
      <c r="AF29" s="278" t="str">
        <f>IF(INT(AE29/100)&gt;=1,INT(AE29/100)&amp;" thùng + "&amp;MOD(AE29,100)/100&amp;" túi ",VALUE(AE29/100)&amp;"túi")</f>
        <v xml:space="preserve">6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300</v>
      </c>
      <c r="AF30" s="278" t="str">
        <f>IF(INT(AE30/2000)&gt;=1,INT(AE30/2000)&amp;" thùng + "&amp;MOD(AE30,2000)/100&amp;" túi ",VALUE(AE30/100)&amp;"túi")</f>
        <v>3túi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800</v>
      </c>
      <c r="AS30" s="278" t="str">
        <f t="shared" ref="AS30" si="7">IF(INT(AR30/2000)&gt;=1,INT(AR30/2000)&amp;" thùng + "&amp;MOD(AR30,2000)/100&amp;" túi ",VALUE(AR30/100)&amp;"túi")</f>
        <v>8túi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410</v>
      </c>
      <c r="AA31" s="363" t="str">
        <f>IF(INT(Z31/20)&gt;=1,INT(Z31/20)&amp;" thùng + "&amp;MOD(Z31,20)&amp;" cái ",VALUE(Z31/20)&amp;"cái")</f>
        <v xml:space="preserve">20 thùng + 10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410</v>
      </c>
      <c r="AA32" s="278" t="str">
        <f>IF(INT(Z32/200)&gt;=1,INT(Z32/200)&amp;" thùng + "&amp;MOD(Z32,200)/20&amp;" túi ",VALUE(Z32)&amp;"cái")</f>
        <v xml:space="preserve">2 thùng + 0.5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100</v>
      </c>
      <c r="AS33" s="278" t="str">
        <f>IF(INT(AR33/4000)&gt;=1,INT(AR33/4000)&amp;" thùng + "&amp;MOD(AR33,4000)/100&amp;" túi ",VALUE(AR33/100)&amp;"túi")</f>
        <v>1túi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500</v>
      </c>
      <c r="L34" s="277" t="str">
        <f>IF(INT(K34/1000)&gt;=1,INT(K34/1000)&amp;" thùng + "&amp;MOD(K34,1000)/100&amp;" túi ",VALUE(K34/100)&amp;"túi")</f>
        <v>5túi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800</v>
      </c>
      <c r="X34" s="278" t="str">
        <f>IF(INT(W34/1000)&gt;=1,INT(W34/1000)&amp;" thùng + "&amp;MOD(W34,1000)/100&amp;" túi ",VALUE(W34/100)&amp;"túi")</f>
        <v>8túi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578</v>
      </c>
      <c r="AA35" s="278" t="str">
        <f>IF(INT(Z35/4000)&gt;=1,INT(Z35/4000)&amp;" thùng + "&amp;MOD(Z35,4000)/100&amp;" túi ",VALUE(Z35/100)&amp;"túi")</f>
        <v>5.78túi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578</v>
      </c>
      <c r="AA36" s="277" t="str">
        <f>IF(INT(Z36/50)&gt;=1,INT(Z36/50)&amp;" thùng + "&amp;MOD(Z36,50)&amp;" cái ",VALUE(Z36)&amp;"cái")</f>
        <v xml:space="preserve">11 thùng + 28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300</v>
      </c>
      <c r="AA37" s="277" t="str">
        <f>IF(INT(Z37/1000)&gt;=1,INT(Z37/1000)&amp;" thùng + "&amp;MOD(Z37,1000)/100&amp;" túi ",VALUE(Z37/100)&amp;"túi")</f>
        <v>3túi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14700</v>
      </c>
      <c r="C38" s="277" t="str">
        <f>IF(INT(B38/4000)&gt;=1,INT(B38/4000)&amp;" thùng + "&amp;MOD(B38,4000)/100&amp;" túi ",VALUE(B38/100)&amp;"túi")</f>
        <v xml:space="preserve">3 thùng + 27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1156</v>
      </c>
      <c r="AA38" s="278" t="str">
        <f>IF(INT(Z38/3000)&gt;=1,INT(Z38/3000)&amp;" thùng + "&amp;MOD(Z38,3000)/100&amp;" túi ",VALUE(Z38/100)&amp;"túi")</f>
        <v>11.56túi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289</v>
      </c>
      <c r="AA39" s="278" t="str">
        <f t="shared" ref="AA39" si="9">IF(INT(Z39/2000)&gt;=1,INT(Z39/2000)&amp;" thùng + "&amp;MOD(Z39,2000)/100&amp;" túi ",VALUE(Z39/100)&amp;"túi")</f>
        <v>2.89túi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410</v>
      </c>
      <c r="AA41" s="277" t="str">
        <f>IF(INT(Z41/100)&gt;=1,INT(Z41/100)&amp;" thùng + "&amp;MOD(Z41,100)/50&amp;" túi ",VALUE(Z41)&amp;"cái")</f>
        <v xml:space="preserve">4 thùng + 0.2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820</v>
      </c>
      <c r="AA42" s="278" t="str">
        <f>IF(INT(Z42/3000)&gt;=1,INT(Z42/3000)&amp;" thùng + "&amp;MOD(Z42,3000)/100&amp;" túi ",VALUE(Z42/100)&amp;"túi")</f>
        <v>8.2túi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410</v>
      </c>
      <c r="AA43" s="277" t="str">
        <f>IF(INT(Z43/1000)&gt;=1,INT(Z43/1000)&amp;" thùng + "&amp;MOD(Z43,1000)/100&amp;" túi ",VALUE(Z43/100)&amp;"túi")</f>
        <v>4.1túi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410</v>
      </c>
      <c r="AA44" s="278" t="str">
        <f>IF(INT(Z44/4000)&gt;=1,INT(Z44/4000)&amp;" thùng + "&amp;MOD(Z44,4000)/100&amp;" túi ",VALUE(Z44/100)&amp;"túi")</f>
        <v>4.1túi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600</v>
      </c>
      <c r="AF50" s="277" t="str">
        <f>IF(INT(AE50/100)&gt;=1,INT(AE50/100)&amp;" thùng + "&amp;MOD(AE50,100)/100&amp;" túi ",VALUE(AE50/100)&amp;"túi")</f>
        <v xml:space="preserve">6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153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153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>
        <v>143</v>
      </c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400</v>
      </c>
      <c r="AP54" s="389" t="str">
        <f>IF(INT(AO54/3000)&gt;=1,INT(AO54/3000)&amp;" thùng + "&amp;MOD(AO54,3000)/100&amp;" túi ",VALUE(AO54/100)&amp;"túi")</f>
        <v>4túi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711"/>
      <c r="G1" s="710"/>
      <c r="H1" s="978" t="s">
        <v>268</v>
      </c>
      <c r="I1" s="979"/>
      <c r="J1" s="979"/>
      <c r="K1" s="979"/>
      <c r="L1" s="980"/>
    </row>
    <row r="2" spans="1:12" ht="26.25" customHeight="1">
      <c r="A2" s="4" t="s">
        <v>383</v>
      </c>
      <c r="B2" s="141"/>
      <c r="C2" s="5"/>
      <c r="D2" s="1033" t="s">
        <v>260</v>
      </c>
      <c r="E2" s="1033"/>
      <c r="F2" s="1034"/>
      <c r="G2" s="718"/>
      <c r="H2" s="440" t="str">
        <f>A2</f>
        <v>Ngày 20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19">
        <v>4</v>
      </c>
      <c r="J3" s="719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19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712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900</v>
      </c>
      <c r="C32" s="278" t="str">
        <f>IF(INT(B32/200)&gt;=1,INT(B32/200)&amp;" thùng + "&amp;MOD(B32,200)&amp;" cái",VALUE(B32)&amp;"cái")</f>
        <v>4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8" activePane="bottomLeft" state="frozen"/>
      <selection activeCell="Z27" sqref="Z27"/>
      <selection pane="bottomLeft" activeCell="Z19" sqref="Z1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720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722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721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384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21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21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21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21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723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732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723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723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733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733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731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729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30"/>
      <c r="K7" s="74" t="s">
        <v>63</v>
      </c>
      <c r="L7" s="74" t="s">
        <v>217</v>
      </c>
      <c r="M7" s="370" t="s">
        <v>230</v>
      </c>
      <c r="N7" s="932"/>
      <c r="O7" s="725" t="s">
        <v>63</v>
      </c>
      <c r="P7" s="725" t="s">
        <v>217</v>
      </c>
      <c r="Q7" s="371" t="s">
        <v>230</v>
      </c>
      <c r="S7" s="939"/>
      <c r="T7" s="74" t="s">
        <v>259</v>
      </c>
      <c r="U7" s="74" t="s">
        <v>217</v>
      </c>
      <c r="V7" s="725" t="s">
        <v>230</v>
      </c>
      <c r="W7" s="74" t="s">
        <v>63</v>
      </c>
      <c r="X7" s="74" t="s">
        <v>217</v>
      </c>
      <c r="Y7" s="725" t="s">
        <v>230</v>
      </c>
      <c r="Z7" s="315" t="s">
        <v>63</v>
      </c>
      <c r="AA7" s="725" t="s">
        <v>217</v>
      </c>
      <c r="AB7" s="394" t="s">
        <v>230</v>
      </c>
      <c r="AC7" s="420"/>
      <c r="AD7" s="1032"/>
      <c r="AE7" s="383" t="s">
        <v>63</v>
      </c>
      <c r="AF7" s="725" t="s">
        <v>217</v>
      </c>
      <c r="AG7" s="725" t="s">
        <v>230</v>
      </c>
      <c r="AH7" s="372" t="s">
        <v>63</v>
      </c>
      <c r="AI7" s="725" t="s">
        <v>217</v>
      </c>
      <c r="AJ7" s="725" t="s">
        <v>230</v>
      </c>
      <c r="AK7" s="724" t="s">
        <v>63</v>
      </c>
      <c r="AL7" s="340" t="s">
        <v>217</v>
      </c>
      <c r="AM7" s="420"/>
      <c r="AN7" s="1021"/>
      <c r="AO7" s="372" t="s">
        <v>63</v>
      </c>
      <c r="AP7" s="725" t="s">
        <v>217</v>
      </c>
      <c r="AQ7" s="725" t="s">
        <v>230</v>
      </c>
      <c r="AR7" s="725" t="s">
        <v>63</v>
      </c>
      <c r="AS7" s="725" t="s">
        <v>217</v>
      </c>
      <c r="AT7" s="725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300</v>
      </c>
      <c r="AI8" s="276" t="str">
        <f>IF(INT(AH8/4000)&gt;=1,INT(AH8/4000)&amp;" thùng + "&amp;MOD(AH8,4000)/100&amp;" túi ",VALUE(AH8/100)&amp;"túi")</f>
        <v>3túi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/>
      <c r="AA9" s="278" t="str">
        <f>IF(INT(Z9/4000)&gt;=1,INT(Z9/4000)&amp;" thùng + "&amp;MOD(Z9,4000)/100&amp;" túi ",VALUE(Z9/100)&amp;"túi")</f>
        <v>0túi</v>
      </c>
      <c r="AB9" s="397"/>
      <c r="AC9" s="422"/>
      <c r="AD9" s="112" t="s">
        <v>238</v>
      </c>
      <c r="AE9" s="242"/>
      <c r="AF9" s="279"/>
      <c r="AG9" s="293"/>
      <c r="AH9" s="242">
        <v>300</v>
      </c>
      <c r="AI9" s="277" t="str">
        <f>IF(INT(AH9/500)&gt;=1,INT(AH9/500)&amp;" thùng + "&amp;MOD(AH9,500)/100&amp;" túi ",VALUE(AH9/100)&amp;"túi")</f>
        <v>3túi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1000</v>
      </c>
      <c r="AF10" s="278" t="str">
        <f>IF(INT(AE10/500)&gt;=1,INT(AE10/500)&amp;" thùng + "&amp;MOD(AE10,500)/100&amp;" túi ",VALUE(AE10/100)&amp;"túi")</f>
        <v xml:space="preserve">2 thùng + 0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5000</v>
      </c>
      <c r="C11" s="277" t="str">
        <f>IF(INT(B11/2000)&gt;=1,INT(B11/2000)&amp;" thùng + "&amp;MOD(B11,2000)/100&amp;" túi ",VALUE(B11/100)&amp;"túi")</f>
        <v xml:space="preserve">2 thùng + 10 túi </v>
      </c>
      <c r="D11" s="291"/>
      <c r="E11" s="81"/>
      <c r="F11" s="242"/>
      <c r="G11" s="277"/>
      <c r="H11" s="342"/>
      <c r="J11" s="114" t="s">
        <v>57</v>
      </c>
      <c r="K11" s="242">
        <v>2000</v>
      </c>
      <c r="L11" s="277" t="str">
        <f t="shared" ref="L11:L12" si="0">IF(INT(K11/2000)&gt;=1,INT(K11/2000)&amp;" thùng + "&amp;MOD(K11,2000)/100&amp;" túi ",VALUE(K11/100)&amp;"túi")</f>
        <v xml:space="preserve">1 thùng + 0 túi 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1000</v>
      </c>
      <c r="AA11" s="277" t="str">
        <f>IF(INT(Z11/3000)&gt;=1,INT(Z11/3000)&amp;" thùng + "&amp;MOD(Z11,3000)/100&amp;" túi ",VALUE(Z11/100)&amp;"túi")</f>
        <v>10túi</v>
      </c>
      <c r="AB11" s="398"/>
      <c r="AC11" s="423"/>
      <c r="AD11" s="112" t="s">
        <v>57</v>
      </c>
      <c r="AE11" s="330">
        <v>400</v>
      </c>
      <c r="AF11" s="277" t="str">
        <f>IF(INT(AE11/2000)&gt;=1,INT(AE11/2000)&amp;" thùng + "&amp;MOD(AE11,2000)/100&amp;" túi ",VALUE(AE11)&amp;"cái")</f>
        <v>400cái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2800</v>
      </c>
      <c r="G12" s="277" t="str">
        <f>IF(INT(F12/2000)&gt;=1,INT(F12/2000)&amp;" thùng + "&amp;MOD(F12,2000)/100&amp;" túi ",VALUE(F12/100)&amp;"túi")</f>
        <v xml:space="preserve">1 thùng + 8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1500</v>
      </c>
      <c r="G13" s="277" t="str">
        <f>IF(INT(F13/600)&gt;=1,INT(F13/600)&amp;" thùng + "&amp;MOD(F13,600)/100&amp;" túi ",VALUE(F13/100)&amp;"túi")</f>
        <v xml:space="preserve">2 thùng + 3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1300</v>
      </c>
      <c r="X13" s="277" t="str">
        <f>IF(INT(W13/600)&gt;=1,INT(W13/600)&amp;" thùng + "&amp;MOD(W13,600)/100&amp;" túi ",VALUE(W13/100)&amp;"túi")</f>
        <v xml:space="preserve">2 thùng + 1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>
        <v>200</v>
      </c>
      <c r="AF13" s="277" t="str">
        <f>IF(INT(AE13/600)&gt;=1,INT(AE13/600)&amp;" thùng + "&amp;MOD(AE13,600)&amp;" cái ",VALUE(AE13/100)&amp;"túi")</f>
        <v>2túi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1500</v>
      </c>
      <c r="G14" s="277" t="str">
        <f>IF(INT(F14/400)&gt;=1,INT(F14/400)&amp;" thùng + "&amp;MOD(F14,400)/100&amp;" túi ",VALUE(F14/100)&amp;"túi")</f>
        <v xml:space="preserve">3 thùng + 3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1300</v>
      </c>
      <c r="X14" s="278" t="str">
        <f>IF(INT(W14/400)&gt;=1,INT(W14/400)&amp;" thùng + "&amp;MOD(W14,400)/100&amp;" túi ",VALUE(W14/100)&amp;"túi")</f>
        <v xml:space="preserve">3 thùng + 1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200</v>
      </c>
      <c r="AF14" s="277" t="str">
        <f>IF(INT(AE14/600)&gt;=1,INT(AE14/600)&amp;" thùng + "&amp;MOD(AE14,600)&amp;" cái ",VALUE(AE14/100)&amp;"túi")</f>
        <v>2túi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1500</v>
      </c>
      <c r="G15" s="277" t="str">
        <f>IF(INT(F15/600)&gt;=1,INT(F15/600)&amp;" thùng + "&amp;MOD(F15,600)/100&amp;" túi ",VALUE(F15/100)&amp;"túi")</f>
        <v xml:space="preserve">2 thùng + 3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1300</v>
      </c>
      <c r="X15" s="277" t="str">
        <f>IF(INT(W15/600)&gt;=1,INT(W15/600)&amp;" thùng + "&amp;MOD(W15,600)/100&amp;" túi ",VALUE(W15/100)&amp;"túi")</f>
        <v xml:space="preserve">2 thùng + 1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200</v>
      </c>
      <c r="AF15" s="277" t="str">
        <f>IF(INT(AE15/600)&gt;=1,INT(AE15/600)&amp;" thùng + "&amp;MOD(AE15,600)&amp;" cái ",VALUE(AE15/100)&amp;"túi")</f>
        <v>2túi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1500</v>
      </c>
      <c r="G16" s="277" t="str">
        <f>IF(INT(F16/400)&gt;=1,INT(F16/400)&amp;" thùng + "&amp;MOD(F16,400)/100&amp;" túi ",VALUE(F16/100)&amp;"túi")</f>
        <v xml:space="preserve">3 thùng + 3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1300</v>
      </c>
      <c r="X16" s="278" t="str">
        <f>IF(INT(W16/400)&gt;=1,INT(W16/400)&amp;" thùng + "&amp;MOD(W16,400)/100&amp;" túi ",VALUE(W16/100)&amp;"túi")</f>
        <v xml:space="preserve">3 thùng + 1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200</v>
      </c>
      <c r="AF16" s="277" t="str">
        <f>IF(INT(AE16/600)&gt;=1,INT(AE16/600)&amp;" thùng + "&amp;MOD(AE16,600)&amp;" cái ",VALUE(AE16/100)&amp;"túi")</f>
        <v>2túi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1500</v>
      </c>
      <c r="G17" s="277" t="str">
        <f>IF(INT(F17/200)&gt;=1,INT(F17/200)&amp;" thùng + "&amp;MOD(F17,200)/50&amp;" túi ",VALUE(F17/50)&amp;"túi")</f>
        <v xml:space="preserve">7 thùng + 2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200</v>
      </c>
      <c r="AF17" s="277" t="str">
        <f>IF(INT(AE17/200)&gt;=1,INT(AE17/200)&amp;" thùng + "&amp;MOD(AE17,200)/50&amp;" túi",VALUE(AE17/50)&amp;"túi")</f>
        <v>1 thùng + 0 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1500</v>
      </c>
      <c r="G18" s="277" t="str">
        <f>IF(INT(F18/1200)&gt;=1,INT(F18/1200)&amp;" thùng + "&amp;MOD(F18,1200)/100&amp;" túi ",VALUE(F18/100)&amp;"túi")</f>
        <v xml:space="preserve">1 thùng + 3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1000</v>
      </c>
      <c r="AF18" s="278" t="str">
        <f>IF(INT(AE18/1200)&gt;=1,INT(AE18/1200)&amp;" thùng + "&amp;MOD(AE18,1200)/100&amp;" túi ",VALUE(AE18/100)&amp;"túi")</f>
        <v>10túi</v>
      </c>
      <c r="AG18" s="292"/>
      <c r="AH18" s="244">
        <v>300</v>
      </c>
      <c r="AI18" s="277" t="str">
        <f>IF(INT(AH18/600)&gt;=1,INT(AH18/600)&amp;" thùng + "&amp;MOD(AH18,600)&amp;" cái ",VALUE(AH18/100)&amp;"túi")</f>
        <v>3túi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20100</v>
      </c>
      <c r="G19" s="277" t="str">
        <f>IF(INT(F19/4000)&gt;=1,INT(F19/4000)&amp;" thùng + "&amp;MOD(F19,4000)/100&amp;" túi ",VALUE(F19/100)&amp;"túi")</f>
        <v xml:space="preserve">5 thùng + 1 túi </v>
      </c>
      <c r="H19" s="346"/>
      <c r="J19" s="234" t="s">
        <v>113</v>
      </c>
      <c r="K19" s="242">
        <v>20400</v>
      </c>
      <c r="L19" s="277" t="str">
        <f>IF(INT(K19/4000)&gt;=1,INT(K19/4000)&amp;" thùng + "&amp;MOD(K19,4000)/100&amp;" túi ",VALUE(K19/100)&amp;"túi")</f>
        <v xml:space="preserve">5 thùng + 4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11400</v>
      </c>
      <c r="X19" s="277" t="str">
        <f>IF(INT(W19/4000)&gt;=1,INT(W19/4000)&amp;" thùng + "&amp;MOD(W19,4000)&amp;" cái ",VALUE(W19/100)&amp;"túi")</f>
        <v xml:space="preserve">2 thùng + 3400 cái </v>
      </c>
      <c r="Y19" s="291"/>
      <c r="Z19" s="244">
        <v>12500</v>
      </c>
      <c r="AA19" s="278" t="str">
        <f>IF(INT(Z19/4000)&gt;=1,INT(Z19/4000)&amp;" thùng + "&amp;MOD(Z19,4000)/100&amp;" túi ",VALUE(Z19/100)&amp;"túi")</f>
        <v xml:space="preserve">3 thùng + 5 túi </v>
      </c>
      <c r="AB19" s="399"/>
      <c r="AC19" s="423"/>
      <c r="AD19" s="412" t="s">
        <v>113</v>
      </c>
      <c r="AE19" s="242">
        <v>1600</v>
      </c>
      <c r="AF19" s="277" t="str">
        <f>IF(INT(AE19/4000)&gt;=1,INT(AE19/4000)&amp;" thùng + "&amp;MOD(AE19,4000)&amp;" cái ",VALUE(AE19/100)&amp;"túi")</f>
        <v>16túi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200</v>
      </c>
      <c r="AS19" s="277" t="str">
        <f>IF(INT(AR19/4000)&gt;=1,INT(AR19/4000)&amp;" thùng + "&amp;MOD(AR19,4000)&amp;" cái ",VALUE(AR19/100)&amp;"túi")</f>
        <v>2túi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200</v>
      </c>
      <c r="AA21" s="278" t="str">
        <f>IF(INT(Z21/400)&gt;=1,INT(Z21/400)&amp;" thùng + "&amp;MOD(Z21,400)/100&amp;" túi ",VALUE(Z21/100)&amp;"túi")</f>
        <v>2túi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5000</v>
      </c>
      <c r="C23" s="363" t="str">
        <f>IF(INT(B23/100)&gt;=1,INT(B23/100)&amp;" thùng + "&amp;MOD(B23,100)&amp;" cái ",VALUE(B23/100)&amp;"cái")</f>
        <v xml:space="preserve">50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>
        <v>200</v>
      </c>
      <c r="AA23" s="277" t="str">
        <f>IF(INT(Z23/600)&gt;=1,INT(Z23/600)&amp;" thùng + "&amp;MOD(Z23,600)/100&amp;" túi ",VALUE(Z23/100)&amp;"túi")</f>
        <v>2túi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200</v>
      </c>
      <c r="AS23" s="277" t="str">
        <f>IF(INT(AR23/400)&gt;=1,INT(AR23/400)&amp;" thùng + "&amp;MOD(AR23,400)&amp;" cái ",VALUE(AR23)&amp;"cái")</f>
        <v>200cái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>
        <v>200</v>
      </c>
      <c r="AA24" s="277" t="str">
        <f>IF(INT(Z24/500)&gt;=1,INT(Z24/500)&amp;" thùng + "&amp;MOD(Z24,500)/100&amp;" túi ",VALUE(Z24/100)&amp;"túi")</f>
        <v>2túi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200</v>
      </c>
      <c r="AS24" s="277" t="str">
        <f>IF(INT(AR24/250)&gt;=1,INT(AR24/250)&amp;" thùng + "&amp;MOD(AR24,250)&amp;" cái ",VALUE(AR24)&amp;"cái")</f>
        <v>200cái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800</v>
      </c>
      <c r="G25" s="277" t="str">
        <f>IF(INT(F25/3000)&gt;=1,INT(F25/3000)&amp;" thùng + "&amp;MOD(F25,3000)/100&amp;" túi ",VALUE(F25/100)&amp;"túi")</f>
        <v>8túi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4103</v>
      </c>
      <c r="C26" s="277" t="str">
        <f>IF(INT(B26/4000)&gt;=1,INT(B26/4000)&amp;" thùng + "&amp;MOD(B26,4000)/100&amp;" túi ",VALUE(B26/100)&amp;"túi")</f>
        <v xml:space="preserve">1 thùng + 1.03 túi 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1920</v>
      </c>
      <c r="U26" s="278" t="str">
        <f>IF(INT(T26/4000)&gt;=1,INT(T26/4000)&amp;" thùng + "&amp;MOD(T26,4000)/100&amp;" túi ",VALUE(T26/100)&amp;"túi")</f>
        <v>19.2túi</v>
      </c>
      <c r="V26" s="291"/>
      <c r="W26" s="244">
        <v>3460</v>
      </c>
      <c r="X26" s="278" t="str">
        <f>IF(INT(W26/4000)&gt;=1,INT(W26/4000)&amp;" thùng + "&amp;MOD(W26,4000)/100&amp;" túi ",VALUE(W26/100)&amp;"túi")</f>
        <v>34.6túi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1000</v>
      </c>
      <c r="AF26" s="288" t="str">
        <f>IF(INT(AE26/4000)&gt;=1,INT(AE26/4000)&amp;" thùng + "&amp;MOD(AE26,4000)/100&amp;" túi ",VALUE(AE26/100)&amp;"túi")</f>
        <v>10túi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100</v>
      </c>
      <c r="AS26" s="385" t="str">
        <f>IF(INT(AR26/4000)&gt;=1,INT(AR26/4000)&amp;" thùng + "&amp;MOD(AR26,4000)/100&amp;" túi ",VALUE(AR26/100)&amp;"túi")</f>
        <v>1túi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900</v>
      </c>
      <c r="P27" s="363" t="str">
        <f>IF(INT(O27/50)&gt;=1,INT(O27/50)&amp;" thùng + "&amp;MOD(O27,50)&amp;" cái ",VALUE(O27/50)&amp;"cái")</f>
        <v xml:space="preserve">18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400</v>
      </c>
      <c r="AA27" s="278" t="str">
        <f>IF(INT(Z27/400)&gt;=1,INT(Z27/400)&amp;" thùng + "&amp;MOD(Z27,400)/100&amp;" túi ",VALUE(Z27/100)&amp;"túi")</f>
        <v xml:space="preserve">1 thùng + 0 túi </v>
      </c>
      <c r="AB27" s="398"/>
      <c r="AC27" s="423"/>
      <c r="AD27" s="116" t="s">
        <v>9</v>
      </c>
      <c r="AE27" s="250">
        <v>200</v>
      </c>
      <c r="AF27" s="363" t="str">
        <f>IF(INT(AE27/50)&gt;=1,INT(AE27/50)&amp;" thùng + "&amp;MOD(AE27,50)&amp;" cái ",VALUE(AE27/50)&amp;"cái")</f>
        <v xml:space="preserve">4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400</v>
      </c>
      <c r="P28" s="363" t="str">
        <f>IF(INT(O28/20)&gt;=1,INT(O28/20)&amp;" thùng + "&amp;MOD(O28,20)&amp;" cái ",VALUE(O28/20)&amp;"cái")</f>
        <v xml:space="preserve">20 thùng + 0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200</v>
      </c>
      <c r="AA28" s="278" t="str">
        <f>IF(INT(Z28/1000)&gt;=1,INT(Z28/1000)&amp;" thùng + "&amp;MOD(Z28,1000)/100&amp;" túi ",VALUE(Z28/100)&amp;"túi")</f>
        <v>2túi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100</v>
      </c>
      <c r="AS28" s="385" t="str">
        <f>IF(INT(AR28/1000)&gt;=1,INT(AR28/1000)&amp;" thùng + "&amp;MOD(AR28,1000)/100&amp;" túi ",VALUE(AR28/100)&amp;"túi")</f>
        <v>1túi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600</v>
      </c>
      <c r="G29" s="277" t="str">
        <f>IF(INT(F29/1500)&gt;=1,INT(F29/1500)&amp;" thùng + "&amp;MOD(F29,1500)/100&amp;" túi ",VALUE(F29/100)&amp;"túi")</f>
        <v>6túi</v>
      </c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200</v>
      </c>
      <c r="AA29" s="278" t="str">
        <f>IF(INT(Z29/200)&gt;=1,INT(Z29/200)&amp;" thùng + "&amp;MOD(Z29,200)/50&amp;" túi ",VALUE(Z29/50)&amp;"túi")</f>
        <v xml:space="preserve">1 thùng + 0 túi </v>
      </c>
      <c r="AB29" s="398"/>
      <c r="AC29" s="423"/>
      <c r="AD29" s="112" t="s">
        <v>53</v>
      </c>
      <c r="AE29" s="250">
        <v>400</v>
      </c>
      <c r="AF29" s="278" t="str">
        <f>IF(INT(AE29/100)&gt;=1,INT(AE29/100)&amp;" thùng + "&amp;MOD(AE29,100)/100&amp;" túi ",VALUE(AE29/100)&amp;"túi")</f>
        <v xml:space="preserve">4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1400</v>
      </c>
      <c r="L30" s="363" t="str">
        <f>IF(INT(K30/100)&gt;=1,INT(K30/100)&amp;" thùng + "&amp;MOD(K30,100)&amp;" cái ",VALUE(K30/100)&amp;"cái")</f>
        <v xml:space="preserve">14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200</v>
      </c>
      <c r="AF30" s="278" t="str">
        <f>IF(INT(AE30/2000)&gt;=1,INT(AE30/2000)&amp;" thùng + "&amp;MOD(AE30,2000)/100&amp;" túi ",VALUE(AE30/100)&amp;"túi")</f>
        <v>2túi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1600</v>
      </c>
      <c r="C31" s="363" t="str">
        <f>IF(INT(B31/100)&gt;=1,INT(B31/100)&amp;" thùng + "&amp;MOD(B31,100)&amp;" cái ",VALUE(B31/100)&amp;"cái")</f>
        <v xml:space="preserve">16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500</v>
      </c>
      <c r="AA31" s="363" t="str">
        <f>IF(INT(Z31/20)&gt;=1,INT(Z31/20)&amp;" thùng + "&amp;MOD(Z31,20)&amp;" cái ",VALUE(Z31/20)&amp;"cái")</f>
        <v xml:space="preserve">25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3400</v>
      </c>
      <c r="C32" s="277" t="str">
        <f>IF(INT(B32/100)&gt;=1,INT(B32/100)&amp;" thùng + "&amp;MOD(B32,100)/100&amp;" cái ",VALUE(B32/100)&amp;"cái")</f>
        <v xml:space="preserve">34 thùng + 0 cái </v>
      </c>
      <c r="D32" s="291"/>
      <c r="E32" s="71"/>
      <c r="F32" s="244"/>
      <c r="G32" s="280"/>
      <c r="H32" s="352"/>
      <c r="J32" s="206" t="s">
        <v>19</v>
      </c>
      <c r="K32" s="326">
        <v>1400</v>
      </c>
      <c r="L32" s="363" t="str">
        <f>IF(INT(K32/100)&gt;=1,INT(K32/100)&amp;" thùng + "&amp;MOD(K32,100)&amp;" cái ",VALUE(K32/100)&amp;"cái")</f>
        <v xml:space="preserve">14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500</v>
      </c>
      <c r="AA32" s="278" t="str">
        <f>IF(INT(Z32/200)&gt;=1,INT(Z32/200)&amp;" thùng + "&amp;MOD(Z32,200)/20&amp;" túi ",VALUE(Z32)&amp;"cái")</f>
        <v xml:space="preserve">2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>
        <v>200</v>
      </c>
      <c r="AS33" s="278" t="str">
        <f>IF(INT(AR33/4000)&gt;=1,INT(AR33/4000)&amp;" thùng + "&amp;MOD(AR33,4000)/100&amp;" túi ",VALUE(AR33/100)&amp;"túi")</f>
        <v>2túi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700</v>
      </c>
      <c r="L34" s="277" t="str">
        <f>IF(INT(K34/1000)&gt;=1,INT(K34/1000)&amp;" thùng + "&amp;MOD(K34,1000)/100&amp;" túi ",VALUE(K34/100)&amp;"túi")</f>
        <v>7túi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700</v>
      </c>
      <c r="X34" s="278" t="str">
        <f>IF(INT(W34/1000)&gt;=1,INT(W34/1000)&amp;" thùng + "&amp;MOD(W34,1000)/100&amp;" túi ",VALUE(W34/100)&amp;"túi")</f>
        <v>7túi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400</v>
      </c>
      <c r="AA35" s="278" t="str">
        <f>IF(INT(Z35/4000)&gt;=1,INT(Z35/4000)&amp;" thùng + "&amp;MOD(Z35,4000)/100&amp;" túi ",VALUE(Z35/100)&amp;"túi")</f>
        <v>4túi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200</v>
      </c>
      <c r="AV35" s="277" t="str">
        <f>IF(INT(AU35/400)&gt;=1,INT(AU35/400)&amp;" thùng + "&amp;MOD(AU35,400)/100&amp;" túi ",VALUE(AU35/100)&amp;"túi")</f>
        <v>2túi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400</v>
      </c>
      <c r="AA36" s="277" t="str">
        <f>IF(INT(Z36/50)&gt;=1,INT(Z36/50)&amp;" thùng + "&amp;MOD(Z36,50)&amp;" cái ",VALUE(Z36)&amp;"cái")</f>
        <v xml:space="preserve">8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200</v>
      </c>
      <c r="AV36" s="278" t="str">
        <f t="shared" ref="AV36:AV37" si="8">IF(INT(AU36/400)&gt;=1,INT(AU36/400)&amp;" thùng + "&amp;MOD(AU36,400)/100&amp;" túi ",VALUE(AU36/100)&amp;"túi")</f>
        <v>2túi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600</v>
      </c>
      <c r="G37" s="278" t="str">
        <f>IF(INT(F37/200)&gt;=1,INT(F37/200)&amp;" thùng + "&amp;MOD(F37,200)&amp;" cái",VALUE(F37)&amp;"cái")</f>
        <v>3 thùng + 0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/>
      <c r="AA37" s="277" t="str">
        <f>IF(INT(Z37/1000)&gt;=1,INT(Z37/1000)&amp;" thùng + "&amp;MOD(Z37,1000)/100&amp;" túi ",VALUE(Z37/100)&amp;"túi")</f>
        <v>0túi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12600</v>
      </c>
      <c r="C38" s="277" t="str">
        <f>IF(INT(B38/4000)&gt;=1,INT(B38/4000)&amp;" thùng + "&amp;MOD(B38,4000)/100&amp;" túi ",VALUE(B38/100)&amp;"túi")</f>
        <v xml:space="preserve">3 thùng + 6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800</v>
      </c>
      <c r="AA38" s="278" t="str">
        <f>IF(INT(Z38/3000)&gt;=1,INT(Z38/3000)&amp;" thùng + "&amp;MOD(Z38,3000)/100&amp;" túi ",VALUE(Z38/100)&amp;"túi")</f>
        <v>8túi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200</v>
      </c>
      <c r="AV38" s="278" t="str">
        <f>IF(INT(AU38/3000)&gt;=1,INT(AU38/3000)&amp;" thùng + "&amp;MOD(AU38,3000)/100&amp;" túi ",VALUE(AU38/100)&amp;"túi")</f>
        <v>2túi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200</v>
      </c>
      <c r="AA39" s="278" t="str">
        <f t="shared" ref="AA39" si="9">IF(INT(Z39/2000)&gt;=1,INT(Z39/2000)&amp;" thùng + "&amp;MOD(Z39,2000)/100&amp;" túi ",VALUE(Z39/100)&amp;"túi")</f>
        <v>2túi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200</v>
      </c>
      <c r="AV39" s="277" t="str">
        <f>IF(INT(AU39/400)&gt;=1,INT(AU39/400)&amp;" thùng + "&amp;MOD(AU39,400)/100&amp;" túi ",VALUE(AU39/100)&amp;"túi")</f>
        <v>2túi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200</v>
      </c>
      <c r="AV40" s="278" t="str">
        <f>IF(INT(AU40/50)&gt;=1,INT(AU40/50)&amp;" thùng + "&amp;MOD(AU40,50)/50&amp;" túi ",VALUE(AU40/50)&amp;"túi")</f>
        <v xml:space="preserve">4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500</v>
      </c>
      <c r="AA41" s="277" t="str">
        <f>IF(INT(Z41/100)&gt;=1,INT(Z41/100)&amp;" thùng + "&amp;MOD(Z41,100)/50&amp;" túi ",VALUE(Z41)&amp;"cái")</f>
        <v xml:space="preserve">5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1000</v>
      </c>
      <c r="AA42" s="278" t="str">
        <f>IF(INT(Z42/3000)&gt;=1,INT(Z42/3000)&amp;" thùng + "&amp;MOD(Z42,3000)/100&amp;" túi ",VALUE(Z42/100)&amp;"túi")</f>
        <v>10túi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500</v>
      </c>
      <c r="AA43" s="277" t="str">
        <f>IF(INT(Z43/1000)&gt;=1,INT(Z43/1000)&amp;" thùng + "&amp;MOD(Z43,1000)/100&amp;" túi ",VALUE(Z43/100)&amp;"túi")</f>
        <v>5túi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500</v>
      </c>
      <c r="AA44" s="278" t="str">
        <f>IF(INT(Z44/4000)&gt;=1,INT(Z44/4000)&amp;" thùng + "&amp;MOD(Z44,4000)/100&amp;" túi ",VALUE(Z44/100)&amp;"túi")</f>
        <v>5túi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700</v>
      </c>
      <c r="X49" s="277" t="str">
        <f>IF(INT(W49/600)&gt;=1,INT(W49/600)&amp;" thùng + "&amp;MOD(W49,600)/20&amp;" túi ",VALUE(W49)&amp;"cái")</f>
        <v xml:space="preserve">1 thùng + 5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400</v>
      </c>
      <c r="AF50" s="277" t="str">
        <f>IF(INT(AE50/100)&gt;=1,INT(AE50/100)&amp;" thùng + "&amp;MOD(AE50,100)/100&amp;" túi ",VALUE(AE50/100)&amp;"túi")</f>
        <v xml:space="preserve">4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400</v>
      </c>
      <c r="AS53" s="363" t="str">
        <f>IF(INT(AR53/100)&gt;=1,INT(AR53/100)&amp;" thùng + "&amp;MOD(AR53,100)&amp;" cái ",VALUE(AR53/100)&amp;"cái")</f>
        <v xml:space="preserve">4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800</v>
      </c>
      <c r="AP54" s="389" t="str">
        <f>IF(INT(AO54/3000)&gt;=1,INT(AO54/3000)&amp;" thùng + "&amp;MOD(AO54,3000)/100&amp;" túi ",VALUE(AO54/100)&amp;"túi")</f>
        <v>8túi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727"/>
      <c r="G1" s="726"/>
      <c r="H1" s="978" t="s">
        <v>268</v>
      </c>
      <c r="I1" s="979"/>
      <c r="J1" s="979"/>
      <c r="K1" s="979"/>
      <c r="L1" s="980"/>
    </row>
    <row r="2" spans="1:12" ht="26.25" customHeight="1">
      <c r="A2" s="4" t="s">
        <v>384</v>
      </c>
      <c r="B2" s="141"/>
      <c r="C2" s="5"/>
      <c r="D2" s="1033" t="s">
        <v>260</v>
      </c>
      <c r="E2" s="1033"/>
      <c r="F2" s="1034"/>
      <c r="G2" s="734"/>
      <c r="H2" s="440" t="str">
        <f>A2</f>
        <v>Ngày 21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35">
        <v>4</v>
      </c>
      <c r="J3" s="735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35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728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700</v>
      </c>
      <c r="C38" s="278" t="str">
        <f>IF(INT(B38/1000)&gt;=1,INT(B38/1000)&amp;" thùng + "&amp;MOD(B38,1000)/100&amp;" túi ",VALUE(B38/100)&amp;"túi")</f>
        <v>7túi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C132"/>
  <sheetViews>
    <sheetView topLeftCell="L1" zoomScale="80" zoomScaleNormal="80" workbookViewId="0">
      <pane ySplit="7" topLeftCell="A8" activePane="bottomLeft" state="frozen"/>
      <selection activeCell="Z27" sqref="Z27"/>
      <selection pane="bottomLeft" activeCell="W19" sqref="W1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738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740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739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385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23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23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23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23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741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746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741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741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745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745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748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747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49"/>
      <c r="K7" s="74" t="s">
        <v>63</v>
      </c>
      <c r="L7" s="74" t="s">
        <v>217</v>
      </c>
      <c r="M7" s="370" t="s">
        <v>230</v>
      </c>
      <c r="N7" s="932"/>
      <c r="O7" s="737" t="s">
        <v>63</v>
      </c>
      <c r="P7" s="737" t="s">
        <v>217</v>
      </c>
      <c r="Q7" s="371" t="s">
        <v>230</v>
      </c>
      <c r="S7" s="939"/>
      <c r="T7" s="74" t="s">
        <v>259</v>
      </c>
      <c r="U7" s="74" t="s">
        <v>217</v>
      </c>
      <c r="V7" s="737" t="s">
        <v>230</v>
      </c>
      <c r="W7" s="74" t="s">
        <v>63</v>
      </c>
      <c r="X7" s="74" t="s">
        <v>217</v>
      </c>
      <c r="Y7" s="737" t="s">
        <v>230</v>
      </c>
      <c r="Z7" s="315" t="s">
        <v>63</v>
      </c>
      <c r="AA7" s="737" t="s">
        <v>217</v>
      </c>
      <c r="AB7" s="394" t="s">
        <v>230</v>
      </c>
      <c r="AC7" s="420"/>
      <c r="AD7" s="1032"/>
      <c r="AE7" s="383" t="s">
        <v>63</v>
      </c>
      <c r="AF7" s="737" t="s">
        <v>217</v>
      </c>
      <c r="AG7" s="737" t="s">
        <v>230</v>
      </c>
      <c r="AH7" s="372" t="s">
        <v>63</v>
      </c>
      <c r="AI7" s="737" t="s">
        <v>217</v>
      </c>
      <c r="AJ7" s="737" t="s">
        <v>230</v>
      </c>
      <c r="AK7" s="736" t="s">
        <v>63</v>
      </c>
      <c r="AL7" s="340" t="s">
        <v>217</v>
      </c>
      <c r="AM7" s="420"/>
      <c r="AN7" s="1021"/>
      <c r="AO7" s="372" t="s">
        <v>63</v>
      </c>
      <c r="AP7" s="737" t="s">
        <v>217</v>
      </c>
      <c r="AQ7" s="737" t="s">
        <v>230</v>
      </c>
      <c r="AR7" s="737" t="s">
        <v>63</v>
      </c>
      <c r="AS7" s="737" t="s">
        <v>217</v>
      </c>
      <c r="AT7" s="737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380</v>
      </c>
      <c r="AI8" s="276" t="str">
        <f>IF(INT(AH8/4000)&gt;=1,INT(AH8/4000)&amp;" thùng + "&amp;MOD(AH8,4000)/100&amp;" túi ",VALUE(AH8/100)&amp;"túi")</f>
        <v>3.8túi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/>
      <c r="AA9" s="278" t="str">
        <f>IF(INT(Z9/4000)&gt;=1,INT(Z9/4000)&amp;" thùng + "&amp;MOD(Z9,4000)/100&amp;" túi ",VALUE(Z9/100)&amp;"túi")</f>
        <v>0túi</v>
      </c>
      <c r="AB9" s="397"/>
      <c r="AC9" s="422"/>
      <c r="AD9" s="112" t="s">
        <v>238</v>
      </c>
      <c r="AE9" s="242"/>
      <c r="AF9" s="279"/>
      <c r="AG9" s="293"/>
      <c r="AH9" s="242">
        <v>380</v>
      </c>
      <c r="AI9" s="277" t="str">
        <f>IF(INT(AH9/500)&gt;=1,INT(AH9/500)&amp;" thùng + "&amp;MOD(AH9,500)/100&amp;" túi ",VALUE(AH9/100)&amp;"túi")</f>
        <v>3.8túi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1000</v>
      </c>
      <c r="C10" s="277" t="str">
        <f>IF(INT(B10/500)&gt;=1,INT(B10/500)&amp;" thùng + "&amp;MOD(B10,500)/100&amp;" túi ",VALUE(B10/100)&amp;"túi")</f>
        <v xml:space="preserve">2 thùng + 0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700</v>
      </c>
      <c r="L10" s="278" t="str">
        <f>IF(INT(K10/500)&gt;=1,INT(K10/500)&amp;" thùng + "&amp;MOD(K10,500)/100&amp;" túi ",VALUE(K10/100)&amp;"túi")</f>
        <v xml:space="preserve">1 thùng + 2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1400</v>
      </c>
      <c r="AA11" s="277" t="str">
        <f>IF(INT(Z11/3000)&gt;=1,INT(Z11/3000)&amp;" thùng + "&amp;MOD(Z11,3000)/100&amp;" túi ",VALUE(Z11/100)&amp;"túi")</f>
        <v>14túi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114" t="s">
        <v>51</v>
      </c>
      <c r="B13" s="242">
        <v>1000</v>
      </c>
      <c r="C13" s="277" t="str">
        <f>IF(INT(B13/600)&gt;=1,INT(B13/600)&amp;" thùng + "&amp;MOD(B13,600)/100&amp;" túi ",VALUE(B13/100)&amp;"túi")</f>
        <v xml:space="preserve">1 thùng + 4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1000</v>
      </c>
      <c r="L13" s="278" t="str">
        <f>IF(INT(K13/600)&gt;=1,INT(K13/600)&amp;" thùng + "&amp;MOD(K13,600)/100&amp;" túi ",VALUE(K13/100)&amp;"túi")</f>
        <v xml:space="preserve">1 thùng + 4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1500</v>
      </c>
      <c r="X13" s="277" t="str">
        <f>IF(INT(W13/600)&gt;=1,INT(W13/600)&amp;" thùng + "&amp;MOD(W13,600)/100&amp;" túi ",VALUE(W13/100)&amp;"túi")</f>
        <v xml:space="preserve">2 thùng + 3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1000</v>
      </c>
      <c r="C14" s="277" t="str">
        <f>IF(INT(B14/400)&gt;=1,INT(B14/400)&amp;" thùng + "&amp;MOD(B14,400)/100&amp;" túi ",VALUE(B14/100)&amp;"túi")</f>
        <v xml:space="preserve">2 thùng + 2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1000</v>
      </c>
      <c r="L14" s="278" t="str">
        <f>IF(INT(K14/400)&gt;=1,INT(K14/400)&amp;" thùng + "&amp;MOD(K14,400)/100&amp;" túi ",VALUE(K14/100)&amp;"túi")</f>
        <v xml:space="preserve">2 thùng + 2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1000</v>
      </c>
      <c r="C15" s="277" t="str">
        <f>IF(INT(B15/600)&gt;=1,INT(B15/600)&amp;" thùng + "&amp;MOD(B15,600)/100&amp;" túi ",VALUE(B15/100)&amp;"túi")</f>
        <v xml:space="preserve">1 thùng + 4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1000</v>
      </c>
      <c r="L15" s="278" t="str">
        <f>IF(INT(K15/600)&gt;=1,INT(K15/600)&amp;" thùng + "&amp;MOD(K15,600)/100&amp;" túi ",VALUE(K15/100)&amp;"túi")</f>
        <v xml:space="preserve">1 thùng + 4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1000</v>
      </c>
      <c r="C16" s="277" t="str">
        <f>IF(INT(B16/400)&gt;=1,INT(B16/400)&amp;" thùng + "&amp;MOD(B16,400)/100&amp;" túi ",VALUE(B16/100)&amp;"túi")</f>
        <v xml:space="preserve">2 thùng + 2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1000</v>
      </c>
      <c r="L16" s="278" t="str">
        <f>IF(INT(K16/400)&gt;=1,INT(K16/400)&amp;" thùng + "&amp;MOD(K16,400)/100&amp;" túi ",VALUE(K16/100)&amp;"túi")</f>
        <v xml:space="preserve">2 thùng + 2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1000</v>
      </c>
      <c r="C17" s="277" t="str">
        <f>IF(INT(B17/200)&gt;=1,INT(B17/200)&amp;" thùng + "&amp;MOD(B17,200)/50&amp;" túi ",VALUE(B17/50)&amp;"túi")</f>
        <v xml:space="preserve">5 thùng + 0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1000</v>
      </c>
      <c r="L17" s="277" t="str">
        <f>IF(INT(K17/200)&gt;=1,INT(K17/200)&amp;" thùng + "&amp;MOD(K17,200)/50&amp;" túi ",VALUE(K17/50)&amp;"túi")</f>
        <v xml:space="preserve">5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300</v>
      </c>
      <c r="AP17" s="277" t="str">
        <f>IF(INT(AO17/200)&gt;=1,INT(AO17/200)&amp;" thùng + "&amp;MOD(AO17,200)/50&amp;" túi",VALUE(AO17/50)&amp;"túi")</f>
        <v>1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1000</v>
      </c>
      <c r="C18" s="277" t="str">
        <f>IF(INT(B18/1200)&gt;=1,INT(B18/1200)&amp;" thùng + "&amp;MOD(B18,1200)/100&amp;" túi ",VALUE(B18/100)&amp;"túi")</f>
        <v>10túi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1000</v>
      </c>
      <c r="L18" s="278" t="str">
        <f>IF(INT(K18/1200)&gt;=1,INT(K18/1200)&amp;" thùng + "&amp;MOD(K18,1200)/100&amp;" túi ",VALUE(K18/100)&amp;"túi")</f>
        <v>10túi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 t="s">
        <v>390</v>
      </c>
      <c r="X18" s="278" t="e">
        <f>IF(INT(W18/200)&gt;=1,INT(W18/200)&amp;" thùng + "&amp;MOD(W18,200)/50&amp;" túi ",VALUE(W18/50)&amp;"túi")</f>
        <v>#VALUE!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380</v>
      </c>
      <c r="AI18" s="277" t="str">
        <f>IF(INT(AH18/600)&gt;=1,INT(AH18/600)&amp;" thùng + "&amp;MOD(AH18,600)&amp;" cái ",VALUE(AH18/100)&amp;"túi")</f>
        <v>3.8túi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 t="s">
        <v>389</v>
      </c>
      <c r="C19" s="277" t="e">
        <f>IF(INT(B19/4000)&gt;=1,INT(B19/4000)&amp;" thùng + "&amp;MOD(B19,4000)/100&amp;" túi ",VALUE(B19/100)&amp;"túi")</f>
        <v>#VALUE!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20400</v>
      </c>
      <c r="L19" s="277" t="str">
        <f>IF(INT(K19/4000)&gt;=1,INT(K19/4000)&amp;" thùng + "&amp;MOD(K19,4000)/100&amp;" túi ",VALUE(K19/100)&amp;"túi")</f>
        <v xml:space="preserve">5 thùng + 4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10500</v>
      </c>
      <c r="X19" s="277" t="str">
        <f>IF(INT(W19/4000)&gt;=1,INT(W19/4000)&amp;" thùng + "&amp;MOD(W19,4000)&amp;" cái ",VALUE(W19/100)&amp;"túi")</f>
        <v xml:space="preserve">2 thùng + 2500 cái </v>
      </c>
      <c r="Y19" s="291"/>
      <c r="Z19" s="244">
        <v>16100</v>
      </c>
      <c r="AA19" s="278" t="str">
        <f>IF(INT(Z19/4000)&gt;=1,INT(Z19/4000)&amp;" thùng + "&amp;MOD(Z19,4000)/100&amp;" túi ",VALUE(Z19/100)&amp;"túi")</f>
        <v xml:space="preserve">4 thùng + 1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1000</v>
      </c>
      <c r="AS19" s="277" t="str">
        <f>IF(INT(AR19/4000)&gt;=1,INT(AR19/4000)&amp;" thùng + "&amp;MOD(AR19,4000)&amp;" cái ",VALUE(AR19/100)&amp;"túi")</f>
        <v>10túi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/>
      <c r="AA21" s="278" t="str">
        <f>IF(INT(Z21/400)&gt;=1,INT(Z21/400)&amp;" thùng + "&amp;MOD(Z21,400)/100&amp;" túi ",VALUE(Z21/100)&amp;"túi")</f>
        <v>0túi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2400</v>
      </c>
      <c r="X23" s="277" t="str">
        <f>IF(INT(W23/600)&gt;=1,INT(W23/600)&amp;" thùng + "&amp;MOD(W23,600)/100&amp;" túi ",VALUE(W23/100)&amp;"túi")</f>
        <v xml:space="preserve">4 thùng + 0 túi </v>
      </c>
      <c r="Y23" s="291"/>
      <c r="Z23" s="244"/>
      <c r="AA23" s="277" t="str">
        <f>IF(INT(Z23/600)&gt;=1,INT(Z23/600)&amp;" thùng + "&amp;MOD(Z23,600)/100&amp;" túi ",VALUE(Z23/100)&amp;"túi")</f>
        <v>0túi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100</v>
      </c>
      <c r="AS23" s="277" t="str">
        <f>IF(INT(AR23/400)&gt;=1,INT(AR23/400)&amp;" thùng + "&amp;MOD(AR23,400)&amp;" cái ",VALUE(AR23)&amp;"cái")</f>
        <v>100cái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1000</v>
      </c>
      <c r="C24" s="277" t="str">
        <f>IF(INT(B24/1000)&gt;=1,INT(B24/1000)&amp;" thùng + "&amp;MOD(B24,1000)/100&amp;" túi ",VALUE(B24/100)&amp;"túi")</f>
        <v xml:space="preserve">1 thùng + 0 túi 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2400</v>
      </c>
      <c r="X24" s="277" t="str">
        <f>IF(INT(W24/500)&gt;=1,INT(W24/500)&amp;" thùng + "&amp;MOD(W24,500)/100&amp;" túi ",VALUE(W24/100)&amp;"túi")</f>
        <v xml:space="preserve">4 thùng + 4 túi </v>
      </c>
      <c r="Y24" s="292"/>
      <c r="Z24" s="244"/>
      <c r="AA24" s="277" t="str">
        <f>IF(INT(Z24/500)&gt;=1,INT(Z24/500)&amp;" thùng + "&amp;MOD(Z24,500)/100&amp;" túi ",VALUE(Z24/100)&amp;"túi")</f>
        <v>0túi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100</v>
      </c>
      <c r="AS24" s="277" t="str">
        <f>IF(INT(AR24/250)&gt;=1,INT(AR24/250)&amp;" thùng + "&amp;MOD(AR24,250)&amp;" cái ",VALUE(AR24)&amp;"cái")</f>
        <v>100cái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386</v>
      </c>
      <c r="U26" s="278" t="e">
        <f>IF(INT(T26/4000)&gt;=1,INT(T26/4000)&amp;" thùng + "&amp;MOD(T26,4000)/100&amp;" túi ",VALUE(T26/100)&amp;"túi")</f>
        <v>#VALUE!</v>
      </c>
      <c r="V26" s="291"/>
      <c r="W26" s="244">
        <v>1730</v>
      </c>
      <c r="X26" s="278" t="str">
        <f>IF(INT(W26/4000)&gt;=1,INT(W26/4000)&amp;" thùng + "&amp;MOD(W26,4000)/100&amp;" túi ",VALUE(W26/100)&amp;"túi")</f>
        <v>17.3túi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 t="s">
        <v>388</v>
      </c>
      <c r="C27" s="363" t="e">
        <f>IF(INT(B27/50)&gt;=1,INT(B27/50)&amp;" thùng + "&amp;MOD(B27,50)&amp;" cái ",VALUE(B27/50)&amp;"cái")</f>
        <v>#VALUE!</v>
      </c>
      <c r="D27" s="291"/>
      <c r="E27" s="119"/>
      <c r="F27" s="242"/>
      <c r="G27" s="81"/>
      <c r="H27" s="346"/>
      <c r="J27" s="235" t="s">
        <v>9</v>
      </c>
      <c r="K27" s="327">
        <v>700</v>
      </c>
      <c r="L27" s="363" t="str">
        <f>IF(INT(K27/50)&gt;=1,INT(K27/50)&amp;" thùng + "&amp;MOD(K27,50)&amp;" cái ",VALUE(K27/50)&amp;"cái")</f>
        <v xml:space="preserve">14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/>
      <c r="AA27" s="278" t="str">
        <f>IF(INT(Z27/400)&gt;=1,INT(Z27/400)&amp;" thùng + "&amp;MOD(Z27,400)/100&amp;" túi ",VALUE(Z27/100)&amp;"túi")</f>
        <v>0túi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/>
      <c r="AA28" s="278" t="str">
        <f>IF(INT(Z28/1000)&gt;=1,INT(Z28/1000)&amp;" thùng + "&amp;MOD(Z28,1000)/100&amp;" túi ",VALUE(Z28/100)&amp;"túi")</f>
        <v>0túi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900</v>
      </c>
      <c r="AS28" s="385" t="str">
        <f>IF(INT(AR28/1000)&gt;=1,INT(AR28/1000)&amp;" thùng + "&amp;MOD(AR28,1000)/100&amp;" túi ",VALUE(AR28/100)&amp;"túi")</f>
        <v>9túi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350</v>
      </c>
      <c r="L29" s="363" t="str">
        <f>IF(INT(K29/20)&gt;=1,INT(K29/20)&amp;" thùng + "&amp;MOD(K29,20)&amp;" cái ",VALUE(K29/20)&amp;"cái")</f>
        <v xml:space="preserve">17 thùng + 10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/>
      <c r="AA29" s="278" t="str">
        <f>IF(INT(Z29/200)&gt;=1,INT(Z29/200)&amp;" thùng + "&amp;MOD(Z29,200)/50&amp;" túi ",VALUE(Z29/50)&amp;"túi")</f>
        <v>0túi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450</v>
      </c>
      <c r="C30" s="363" t="str">
        <f>IF(INT(B30/20)&gt;=1,INT(B30/20)&amp;" thùng + "&amp;MOD(B30,20)&amp;" cái ",VALUE(B30/20)&amp;"cái")</f>
        <v xml:space="preserve">22 thùng + 10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700</v>
      </c>
      <c r="AA31" s="363" t="str">
        <f>IF(INT(Z31/20)&gt;=1,INT(Z31/20)&amp;" thùng + "&amp;MOD(Z31,20)&amp;" cái ",VALUE(Z31/20)&amp;"cái")</f>
        <v xml:space="preserve">35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700</v>
      </c>
      <c r="AA32" s="278" t="str">
        <f>IF(INT(Z32/200)&gt;=1,INT(Z32/200)&amp;" thùng + "&amp;MOD(Z32,200)/20&amp;" túi ",VALUE(Z32)&amp;"cái")</f>
        <v xml:space="preserve">3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387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700</v>
      </c>
      <c r="L34" s="277" t="str">
        <f>IF(INT(K34/1000)&gt;=1,INT(K34/1000)&amp;" thùng + "&amp;MOD(K34,1000)/100&amp;" túi ",VALUE(K34/100)&amp;"túi")</f>
        <v>7túi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/>
      <c r="X34" s="278" t="str">
        <f>IF(INT(W34/1000)&gt;=1,INT(W34/1000)&amp;" thùng + "&amp;MOD(W34,1000)/100&amp;" túi ",VALUE(W34/100)&amp;"túi")</f>
        <v>0túi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/>
      <c r="AA35" s="278" t="str">
        <f>IF(INT(Z35/4000)&gt;=1,INT(Z35/4000)&amp;" thùng + "&amp;MOD(Z35,4000)/100&amp;" túi ",VALUE(Z35/100)&amp;"túi")</f>
        <v>0túi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/>
      <c r="AA36" s="277" t="str">
        <f>IF(INT(Z36/50)&gt;=1,INT(Z36/50)&amp;" thùng + "&amp;MOD(Z36,50)&amp;" cái ",VALUE(Z36)&amp;"cái")</f>
        <v>0cái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/>
      <c r="AA37" s="277" t="str">
        <f>IF(INT(Z37/1000)&gt;=1,INT(Z37/1000)&amp;" thùng + "&amp;MOD(Z37,1000)/100&amp;" túi ",VALUE(Z37/100)&amp;"túi")</f>
        <v>0túi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14700</v>
      </c>
      <c r="C38" s="277" t="str">
        <f>IF(INT(B38/4000)&gt;=1,INT(B38/4000)&amp;" thùng + "&amp;MOD(B38,4000)/100&amp;" túi ",VALUE(B38/100)&amp;"túi")</f>
        <v xml:space="preserve">3 thùng + 27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/>
      <c r="AA38" s="278" t="str">
        <f>IF(INT(Z38/3000)&gt;=1,INT(Z38/3000)&amp;" thùng + "&amp;MOD(Z38,3000)/100&amp;" túi ",VALUE(Z38/100)&amp;"túi")</f>
        <v>0túi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/>
      <c r="AA39" s="278" t="str">
        <f t="shared" ref="AA39" si="9">IF(INT(Z39/2000)&gt;=1,INT(Z39/2000)&amp;" thùng + "&amp;MOD(Z39,2000)/100&amp;" túi ",VALUE(Z39/100)&amp;"túi")</f>
        <v>0túi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700</v>
      </c>
      <c r="AA41" s="277" t="str">
        <f>IF(INT(Z41/100)&gt;=1,INT(Z41/100)&amp;" thùng + "&amp;MOD(Z41,100)/50&amp;" túi ",VALUE(Z41)&amp;"cái")</f>
        <v xml:space="preserve">7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1400</v>
      </c>
      <c r="AA42" s="278" t="str">
        <f>IF(INT(Z42/3000)&gt;=1,INT(Z42/3000)&amp;" thùng + "&amp;MOD(Z42,3000)/100&amp;" túi ",VALUE(Z42/100)&amp;"túi")</f>
        <v>14túi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700</v>
      </c>
      <c r="AA43" s="277" t="str">
        <f>IF(INT(Z43/1000)&gt;=1,INT(Z43/1000)&amp;" thùng + "&amp;MOD(Z43,1000)/100&amp;" túi ",VALUE(Z43/100)&amp;"túi")</f>
        <v>7túi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700</v>
      </c>
      <c r="AA44" s="278" t="str">
        <f>IF(INT(Z44/4000)&gt;=1,INT(Z44/4000)&amp;" thùng + "&amp;MOD(Z44,4000)/100&amp;" túi ",VALUE(Z44/100)&amp;"túi")</f>
        <v>7túi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300</v>
      </c>
      <c r="AS47" s="278" t="str">
        <f>IF(INT(AR47/50)&gt;=1,INT(AR47/50)&amp;" thùng + "&amp;MOD(AR47,50)/10&amp;" túi ",VALUE(AR47/10)&amp;"túi")</f>
        <v xml:space="preserve">6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1400</v>
      </c>
      <c r="X48" s="278" t="str">
        <f>IF(INT(W48/100)&gt;=1,INT(W48/100)&amp;" thùng + "&amp;MOD(W48,100)/100&amp;" túi ",VALUE(W48)&amp;"cái")</f>
        <v xml:space="preserve">14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400</v>
      </c>
      <c r="AP54" s="389" t="str">
        <f>IF(INT(AO54/3000)&gt;=1,INT(AO54/3000)&amp;" thùng + "&amp;MOD(AO54,3000)/100&amp;" túi ",VALUE(AO54/100)&amp;"túi")</f>
        <v>4túi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K32" sqref="K32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743"/>
      <c r="G1" s="742"/>
      <c r="H1" s="978" t="s">
        <v>268</v>
      </c>
      <c r="I1" s="979"/>
      <c r="J1" s="979"/>
      <c r="K1" s="979"/>
      <c r="L1" s="980"/>
    </row>
    <row r="2" spans="1:12" ht="26.25" customHeight="1">
      <c r="A2" s="4" t="s">
        <v>385</v>
      </c>
      <c r="B2" s="141"/>
      <c r="C2" s="5"/>
      <c r="D2" s="1033" t="s">
        <v>260</v>
      </c>
      <c r="E2" s="1033"/>
      <c r="F2" s="1034"/>
      <c r="G2" s="750"/>
      <c r="H2" s="440" t="str">
        <f>A2</f>
        <v>Ngày 23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51">
        <v>4</v>
      </c>
      <c r="J3" s="751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51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744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 t="s">
        <v>51</v>
      </c>
      <c r="I9" s="270">
        <v>6600</v>
      </c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 t="s">
        <v>52</v>
      </c>
      <c r="I10" s="213">
        <v>4400</v>
      </c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 t="s">
        <v>61</v>
      </c>
      <c r="I11" s="212">
        <v>6400</v>
      </c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 t="s">
        <v>62</v>
      </c>
      <c r="I12" s="213">
        <v>3600</v>
      </c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 t="s">
        <v>74</v>
      </c>
      <c r="I13" s="212">
        <v>80</v>
      </c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 t="s">
        <v>115</v>
      </c>
      <c r="I14" s="214">
        <v>40</v>
      </c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 t="s">
        <v>44</v>
      </c>
      <c r="I15" s="215">
        <v>30</v>
      </c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 t="s">
        <v>100</v>
      </c>
      <c r="I16" s="215">
        <v>10</v>
      </c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 t="s">
        <v>360</v>
      </c>
      <c r="I17" s="214">
        <v>40</v>
      </c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 t="s">
        <v>292</v>
      </c>
      <c r="I18" s="214">
        <v>10</v>
      </c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 t="s">
        <v>53</v>
      </c>
      <c r="I19" s="215">
        <v>10</v>
      </c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 t="s">
        <v>148</v>
      </c>
      <c r="I20" s="214">
        <v>1040</v>
      </c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 t="s">
        <v>361</v>
      </c>
      <c r="I21" s="215">
        <v>40</v>
      </c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 t="s">
        <v>59</v>
      </c>
      <c r="I22" s="214">
        <v>570</v>
      </c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 t="s">
        <v>294</v>
      </c>
      <c r="I23" s="215">
        <v>20</v>
      </c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 t="s">
        <v>362</v>
      </c>
      <c r="I24" s="214">
        <v>20</v>
      </c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 t="s">
        <v>363</v>
      </c>
      <c r="I25" s="215">
        <v>20</v>
      </c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 t="s">
        <v>60</v>
      </c>
      <c r="I26" s="215">
        <v>720</v>
      </c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 t="s">
        <v>101</v>
      </c>
      <c r="I27" s="214">
        <v>30</v>
      </c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 t="s">
        <v>115</v>
      </c>
      <c r="I29" s="215">
        <v>50</v>
      </c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 t="s">
        <v>40</v>
      </c>
      <c r="I30" s="208">
        <v>10</v>
      </c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 t="s">
        <v>44</v>
      </c>
      <c r="I31" s="208">
        <v>10</v>
      </c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 t="s">
        <v>100</v>
      </c>
      <c r="I32" s="208">
        <v>10</v>
      </c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 t="s">
        <v>360</v>
      </c>
      <c r="I33" s="208">
        <v>120</v>
      </c>
      <c r="J33" s="30"/>
      <c r="K33" s="38"/>
      <c r="L33" s="323"/>
    </row>
    <row r="34" spans="1:12" s="35" customFormat="1">
      <c r="A34" s="29" t="s">
        <v>236</v>
      </c>
      <c r="B34" s="451">
        <v>1000</v>
      </c>
      <c r="C34" s="278" t="str">
        <f>IF(INT(B34/1000)&gt;=1,INT(B34/1000)&amp;" thùng + "&amp;MOD(B34,1000)&amp;" cái",VALUE(B34)&amp;"cái")</f>
        <v>1 thùng + 0 cái</v>
      </c>
      <c r="D34" s="278"/>
      <c r="E34" s="30"/>
      <c r="F34" s="46"/>
      <c r="G34" s="437"/>
      <c r="H34" s="49" t="s">
        <v>292</v>
      </c>
      <c r="I34" s="208">
        <v>70</v>
      </c>
      <c r="J34" s="30"/>
      <c r="K34" s="38"/>
      <c r="L34" s="323"/>
    </row>
    <row r="35" spans="1:12">
      <c r="A35" s="29" t="s">
        <v>265</v>
      </c>
      <c r="B35" s="186">
        <v>2000</v>
      </c>
      <c r="C35" s="278" t="str">
        <f>IF(INT(B35/500)&gt;=1,INT(B35/500)&amp;" thùng + "&amp;MOD(B35,500)/100&amp;" túi",VALUE(B35/100)&amp;"túi")</f>
        <v>4 thùng + 0 túi</v>
      </c>
      <c r="D35" s="38"/>
      <c r="E35" s="37"/>
      <c r="F35" s="43"/>
      <c r="G35" s="324"/>
      <c r="H35" s="49" t="s">
        <v>53</v>
      </c>
      <c r="I35" s="208">
        <v>60</v>
      </c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 t="s">
        <v>55</v>
      </c>
      <c r="I36" s="208">
        <v>10</v>
      </c>
      <c r="J36" s="32"/>
      <c r="K36" s="30"/>
      <c r="L36" s="322"/>
    </row>
    <row r="37" spans="1:12">
      <c r="A37" s="29" t="s">
        <v>277</v>
      </c>
      <c r="B37" s="186">
        <v>1000</v>
      </c>
      <c r="C37" s="278" t="str">
        <f>IF(INT(B37/400)&gt;=1,INT(B37/400)&amp;" thùng + "&amp;MOD(B37,400)/100&amp;" túi ",VALUE(B37/100)&amp;"túi")</f>
        <v xml:space="preserve">2 thùng + 2 túi </v>
      </c>
      <c r="D37" s="38"/>
      <c r="E37" s="37"/>
      <c r="F37" s="43"/>
      <c r="G37" s="435"/>
      <c r="H37" s="49" t="s">
        <v>57</v>
      </c>
      <c r="I37" s="208">
        <v>630</v>
      </c>
      <c r="J37" s="32"/>
      <c r="K37" s="30"/>
      <c r="L37" s="322"/>
    </row>
    <row r="38" spans="1:12">
      <c r="A38" s="29" t="s">
        <v>278</v>
      </c>
      <c r="B38" s="337">
        <v>400</v>
      </c>
      <c r="C38" s="278" t="str">
        <f>IF(INT(B38/1000)&gt;=1,INT(B38/1000)&amp;" thùng + "&amp;MOD(B38,1000)/100&amp;" túi ",VALUE(B38/100)&amp;"túi")</f>
        <v>4túi</v>
      </c>
      <c r="D38" s="38"/>
      <c r="E38" s="37"/>
      <c r="F38" s="43"/>
      <c r="G38" s="435"/>
      <c r="H38" s="49" t="s">
        <v>361</v>
      </c>
      <c r="I38" s="208">
        <v>40</v>
      </c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 t="s">
        <v>59</v>
      </c>
      <c r="I39" s="208">
        <v>180</v>
      </c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 t="s">
        <v>363</v>
      </c>
      <c r="I40" s="209">
        <v>200</v>
      </c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 t="s">
        <v>60</v>
      </c>
      <c r="I41" s="209">
        <v>320</v>
      </c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 t="s">
        <v>74</v>
      </c>
      <c r="I42" s="209">
        <v>300</v>
      </c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 t="s">
        <v>113</v>
      </c>
      <c r="I43" s="208">
        <v>330</v>
      </c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C132"/>
  <sheetViews>
    <sheetView topLeftCell="S1" zoomScale="80" zoomScaleNormal="80" workbookViewId="0">
      <pane ySplit="7" topLeftCell="A8" activePane="bottomLeft" state="frozen"/>
      <selection activeCell="Z27" sqref="Z27"/>
      <selection pane="bottomLeft" activeCell="AD33" sqref="AD33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752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754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753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391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24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24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24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24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755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764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755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755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765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765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763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761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62"/>
      <c r="K7" s="74" t="s">
        <v>63</v>
      </c>
      <c r="L7" s="74" t="s">
        <v>217</v>
      </c>
      <c r="M7" s="370" t="s">
        <v>230</v>
      </c>
      <c r="N7" s="932"/>
      <c r="O7" s="757" t="s">
        <v>63</v>
      </c>
      <c r="P7" s="757" t="s">
        <v>217</v>
      </c>
      <c r="Q7" s="371" t="s">
        <v>230</v>
      </c>
      <c r="S7" s="939"/>
      <c r="T7" s="74" t="s">
        <v>259</v>
      </c>
      <c r="U7" s="74" t="s">
        <v>217</v>
      </c>
      <c r="V7" s="757" t="s">
        <v>230</v>
      </c>
      <c r="W7" s="74" t="s">
        <v>63</v>
      </c>
      <c r="X7" s="74" t="s">
        <v>217</v>
      </c>
      <c r="Y7" s="757" t="s">
        <v>230</v>
      </c>
      <c r="Z7" s="315" t="s">
        <v>63</v>
      </c>
      <c r="AA7" s="757" t="s">
        <v>217</v>
      </c>
      <c r="AB7" s="394" t="s">
        <v>230</v>
      </c>
      <c r="AC7" s="420"/>
      <c r="AD7" s="1032"/>
      <c r="AE7" s="383" t="s">
        <v>63</v>
      </c>
      <c r="AF7" s="757" t="s">
        <v>217</v>
      </c>
      <c r="AG7" s="757" t="s">
        <v>230</v>
      </c>
      <c r="AH7" s="372" t="s">
        <v>63</v>
      </c>
      <c r="AI7" s="757" t="s">
        <v>217</v>
      </c>
      <c r="AJ7" s="757" t="s">
        <v>230</v>
      </c>
      <c r="AK7" s="756" t="s">
        <v>63</v>
      </c>
      <c r="AL7" s="340" t="s">
        <v>217</v>
      </c>
      <c r="AM7" s="420"/>
      <c r="AN7" s="1021"/>
      <c r="AO7" s="372" t="s">
        <v>63</v>
      </c>
      <c r="AP7" s="757" t="s">
        <v>217</v>
      </c>
      <c r="AQ7" s="757" t="s">
        <v>230</v>
      </c>
      <c r="AR7" s="757" t="s">
        <v>63</v>
      </c>
      <c r="AS7" s="757" t="s">
        <v>217</v>
      </c>
      <c r="AT7" s="757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330</v>
      </c>
      <c r="AI8" s="276" t="str">
        <f>IF(INT(AH8/4000)&gt;=1,INT(AH8/4000)&amp;" thùng + "&amp;MOD(AH8,4000)/100&amp;" túi ",VALUE(AH8/100)&amp;"túi")</f>
        <v>3.3túi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700</v>
      </c>
      <c r="X9" s="278" t="str">
        <f>IF(INT(W9/4000)&gt;=1,INT(W9/4000)&amp;" thùng + "&amp;MOD(W9,4000)/100&amp;" túi ",VALUE(W9/100)&amp;"túi")</f>
        <v>7túi</v>
      </c>
      <c r="Y9" s="313"/>
      <c r="Z9" s="245">
        <v>102</v>
      </c>
      <c r="AA9" s="278" t="str">
        <f>IF(INT(Z9/4000)&gt;=1,INT(Z9/4000)&amp;" thùng + "&amp;MOD(Z9,4000)/100&amp;" túi ",VALUE(Z9/100)&amp;"túi")</f>
        <v>1.02túi</v>
      </c>
      <c r="AB9" s="397"/>
      <c r="AC9" s="422"/>
      <c r="AD9" s="112" t="s">
        <v>238</v>
      </c>
      <c r="AE9" s="242"/>
      <c r="AF9" s="279"/>
      <c r="AG9" s="293"/>
      <c r="AH9" s="242">
        <v>330</v>
      </c>
      <c r="AI9" s="277" t="str">
        <f>IF(INT(AH9/500)&gt;=1,INT(AH9/500)&amp;" thùng + "&amp;MOD(AH9,500)/100&amp;" túi ",VALUE(AH9/100)&amp;"túi")</f>
        <v>3.3túi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600</v>
      </c>
      <c r="L10" s="278" t="str">
        <f>IF(INT(K10/500)&gt;=1,INT(K10/500)&amp;" thùng + "&amp;MOD(K10,500)/100&amp;" túi ",VALUE(K10/100)&amp;"túi")</f>
        <v xml:space="preserve">1 thùng + 1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1600</v>
      </c>
      <c r="L11" s="277" t="str">
        <f t="shared" ref="L11:L12" si="0">IF(INT(K11/2000)&gt;=1,INT(K11/2000)&amp;" thùng + "&amp;MOD(K11,2000)/100&amp;" túi ",VALUE(K11/100)&amp;"túi")</f>
        <v>16túi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1200</v>
      </c>
      <c r="AA11" s="277" t="str">
        <f>IF(INT(Z11/3000)&gt;=1,INT(Z11/3000)&amp;" thùng + "&amp;MOD(Z11,3000)/100&amp;" túi ",VALUE(Z11/100)&amp;"túi")</f>
        <v>12túi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2800</v>
      </c>
      <c r="L12" s="278" t="str">
        <f t="shared" si="0"/>
        <v xml:space="preserve">1 thùng + 8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3000</v>
      </c>
      <c r="X12" s="278" t="str">
        <f t="shared" ref="X12" si="1">IF(INT(W12/2000)&gt;=1,INT(W12/2000)&amp;" thùng + "&amp;MOD(W12,2000)/100&amp;" túi ",VALUE(W12/100)&amp;"túi")</f>
        <v xml:space="preserve">1 thùng + 10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200</v>
      </c>
      <c r="AV12" s="385" t="str">
        <f t="shared" si="4"/>
        <v>2túi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600</v>
      </c>
      <c r="X13" s="277" t="str">
        <f>IF(INT(W13/600)&gt;=1,INT(W13/600)&amp;" thùng + "&amp;MOD(W13,600)/100&amp;" túi ",VALUE(W13/100)&amp;"túi")</f>
        <v xml:space="preserve">1 thùng + 0 túi </v>
      </c>
      <c r="Y13" s="291"/>
      <c r="Z13" s="244" t="s">
        <v>392</v>
      </c>
      <c r="AA13" s="277" t="e">
        <f>IF(INT(Z13/600)&gt;=1,INT(Z13/600)&amp;" thùng + "&amp;MOD(Z13,600)&amp;" cái ",VALUE(Z13)&amp;"cái")</f>
        <v>#VALUE!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600</v>
      </c>
      <c r="X14" s="278" t="str">
        <f>IF(INT(W14/400)&gt;=1,INT(W14/400)&amp;" thùng + "&amp;MOD(W14,400)/100&amp;" túi ",VALUE(W14/100)&amp;"túi")</f>
        <v xml:space="preserve">1 thùng + 2 túi </v>
      </c>
      <c r="Y14" s="292"/>
      <c r="Z14" s="244" t="s">
        <v>392</v>
      </c>
      <c r="AA14" s="278" t="e">
        <f>IF(INT(Z14/400)&gt;=1,INT(Z14/400)&amp;" thùng + "&amp;MOD(Z14,400)&amp;" cái ",VALUE(Z14/100)&amp;"túi")</f>
        <v>#VALUE!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600</v>
      </c>
      <c r="X15" s="277" t="str">
        <f>IF(INT(W15/600)&gt;=1,INT(W15/600)&amp;" thùng + "&amp;MOD(W15,600)/100&amp;" túi ",VALUE(W15/100)&amp;"túi")</f>
        <v xml:space="preserve">1 thùng + 0 túi </v>
      </c>
      <c r="Y15" s="291"/>
      <c r="Z15" s="244" t="s">
        <v>393</v>
      </c>
      <c r="AA15" s="277" t="e">
        <f>IF(INT(Z15/600)&gt;=1,INT(Z15/600)&amp;" thùng + "&amp;MOD(Z15,600)&amp;" cái ",VALUE(Z15)&amp;"cái")</f>
        <v>#VALUE!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600</v>
      </c>
      <c r="X16" s="278" t="str">
        <f>IF(INT(W16/400)&gt;=1,INT(W16/400)&amp;" thùng + "&amp;MOD(W16,400)/100&amp;" túi ",VALUE(W16/100)&amp;"túi")</f>
        <v xml:space="preserve">1 thùng + 2 túi </v>
      </c>
      <c r="Y16" s="292"/>
      <c r="Z16" s="244" t="s">
        <v>393</v>
      </c>
      <c r="AA16" s="278" t="e">
        <f>IF(INT(Z16/400)&gt;=1,INT(Z16/400)&amp;" thùng + "&amp;MOD(Z16,400)&amp;" cái ",VALUE(Z16/100)&amp;"túi")</f>
        <v>#VALUE!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600</v>
      </c>
      <c r="X17" s="277" t="str">
        <f>IF(INT(W17/200)&gt;=1,INT(W17/200)&amp;" thùng + "&amp;MOD(W17,200)/50&amp;" túi ",VALUE(W17/50)&amp;"túi")</f>
        <v xml:space="preserve">3 thùng + 0 túi </v>
      </c>
      <c r="Y17" s="291"/>
      <c r="Z17" s="244" t="s">
        <v>393</v>
      </c>
      <c r="AA17" s="277" t="e">
        <f>IF(INT(Z17/200)&gt;=1,INT(Z17/200)&amp;" thùng + "&amp;MOD(Z17,200)&amp;" cái ",VALUE(Z17/50)&amp;"túi")</f>
        <v>#VALUE!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400</v>
      </c>
      <c r="AP17" s="277" t="str">
        <f>IF(INT(AO17/200)&gt;=1,INT(AO17/200)&amp;" thùng + "&amp;MOD(AO17,200)/50&amp;" túi",VALUE(AO17/50)&amp;"túi")</f>
        <v>2 thùng + 0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/>
      <c r="X18" s="278" t="str">
        <f>IF(INT(W18/200)&gt;=1,INT(W18/200)&amp;" thùng + "&amp;MOD(W18,200)/50&amp;" túi ",VALUE(W18/50)&amp;"túi")</f>
        <v>0túi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330</v>
      </c>
      <c r="AI18" s="277" t="str">
        <f>IF(INT(AH18/600)&gt;=1,INT(AH18/600)&amp;" thùng + "&amp;MOD(AH18,600)&amp;" cái ",VALUE(AH18/100)&amp;"túi")</f>
        <v>3.3túi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18700</v>
      </c>
      <c r="L19" s="277" t="str">
        <f>IF(INT(K19/4000)&gt;=1,INT(K19/4000)&amp;" thùng + "&amp;MOD(K19,4000)/100&amp;" túi ",VALUE(K19/100)&amp;"túi")</f>
        <v xml:space="preserve">4 thùng + 27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13800</v>
      </c>
      <c r="X19" s="277" t="str">
        <f>IF(INT(W19/4000)&gt;=1,INT(W19/4000)&amp;" thùng + "&amp;MOD(W19,4000)&amp;" cái ",VALUE(W19/100)&amp;"túi")</f>
        <v xml:space="preserve">3 thùng + 1800 cái </v>
      </c>
      <c r="Y19" s="291"/>
      <c r="Z19" s="244" t="s">
        <v>394</v>
      </c>
      <c r="AA19" s="278" t="e">
        <f>IF(INT(Z19/4000)&gt;=1,INT(Z19/4000)&amp;" thùng + "&amp;MOD(Z19,4000)/100&amp;" túi ",VALUE(Z19/100)&amp;"túi")</f>
        <v>#VALUE!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1000</v>
      </c>
      <c r="AS19" s="277" t="str">
        <f>IF(INT(AR19/4000)&gt;=1,INT(AR19/4000)&amp;" thùng + "&amp;MOD(AR19,4000)&amp;" cái ",VALUE(AR19/100)&amp;"túi")</f>
        <v>10túi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 t="s">
        <v>395</v>
      </c>
      <c r="AA21" s="278" t="e">
        <f>IF(INT(Z21/400)&gt;=1,INT(Z21/400)&amp;" thùng + "&amp;MOD(Z21,400)/100&amp;" túi ",VALUE(Z21/100)&amp;"túi")</f>
        <v>#VALUE!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700</v>
      </c>
      <c r="X22" s="278" t="str">
        <f>IF(INT(W22/300)&gt;=1,INT(W22/300)&amp;" thùng + "&amp;MOD(W22,300)/100&amp;" túi ",VALUE(W22/100)&amp;"túi")</f>
        <v xml:space="preserve">2 thùng + 1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1400</v>
      </c>
      <c r="U23" s="277" t="str">
        <f>IF(INT(T23/600)&gt;=1,INT(T23/600)&amp;" thùng + "&amp;MOD(T23,600)/100&amp;" túi ",VALUE(T23/100)&amp;"túi")</f>
        <v xml:space="preserve">2 thùng + 2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 t="s">
        <v>395</v>
      </c>
      <c r="AA23" s="277" t="e">
        <f>IF(INT(Z23/600)&gt;=1,INT(Z23/600)&amp;" thùng + "&amp;MOD(Z23,600)/100&amp;" túi ",VALUE(Z23/100)&amp;"túi")</f>
        <v>#VALUE!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100</v>
      </c>
      <c r="AS23" s="277" t="str">
        <f>IF(INT(AR23/400)&gt;=1,INT(AR23/400)&amp;" thùng + "&amp;MOD(AR23,400)&amp;" cái ",VALUE(AR23)&amp;"cái")</f>
        <v>100cái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1400</v>
      </c>
      <c r="L24" s="277" t="str">
        <f>IF(INT(K24/600)&gt;=1,INT(K24/600)&amp;" thùng + "&amp;MOD(K24,600)/100&amp;" túi ",VALUE(K24/100)&amp;"túi")</f>
        <v xml:space="preserve">2 thùng + 2 túi </v>
      </c>
      <c r="M24" s="291"/>
      <c r="N24" s="71"/>
      <c r="O24" s="246"/>
      <c r="P24" s="123"/>
      <c r="Q24" s="130"/>
      <c r="S24" s="103" t="s">
        <v>60</v>
      </c>
      <c r="T24" s="244">
        <v>1400</v>
      </c>
      <c r="U24" s="277" t="str">
        <f>IF(INT(T24/500)&gt;=1,INT(T24/500)&amp;" thùng + "&amp;MOD(T24,500)/100&amp;" túi ",VALUE(T24/100)&amp;"túi")</f>
        <v xml:space="preserve">2 thùng + 4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 t="s">
        <v>395</v>
      </c>
      <c r="AA24" s="277" t="e">
        <f>IF(INT(Z24/500)&gt;=1,INT(Z24/500)&amp;" thùng + "&amp;MOD(Z24,500)/100&amp;" túi ",VALUE(Z24/100)&amp;"túi")</f>
        <v>#VALUE!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100</v>
      </c>
      <c r="AS24" s="277" t="str">
        <f>IF(INT(AR24/250)&gt;=1,INT(AR24/250)&amp;" thùng + "&amp;MOD(AR24,250)&amp;" cái ",VALUE(AR24)&amp;"cái")</f>
        <v>100cái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>
        <v>100</v>
      </c>
      <c r="AP25" s="277" t="str">
        <f>IF(INT(AO25/500)&gt;=1,INT(AO25/500)&amp;" thùng + "&amp;MOD(AO25,500)/100&amp;" túi ",VALUE(AO25/100)&amp;"túi")</f>
        <v>1túi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3030</v>
      </c>
      <c r="C26" s="277" t="str">
        <f>IF(INT(B26/4000)&gt;=1,INT(B26/4000)&amp;" thùng + "&amp;MOD(B26,4000)/100&amp;" túi ",VALUE(B26/100)&amp;"túi")</f>
        <v>30.3túi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352</v>
      </c>
      <c r="U26" s="278" t="e">
        <f>IF(INT(T26/4000)&gt;=1,INT(T26/4000)&amp;" thùng + "&amp;MOD(T26,4000)/100&amp;" túi ",VALUE(T26/100)&amp;"túi")</f>
        <v>#VALUE!</v>
      </c>
      <c r="V26" s="291"/>
      <c r="W26" s="244">
        <v>1730</v>
      </c>
      <c r="X26" s="278" t="str">
        <f>IF(INT(W26/4000)&gt;=1,INT(W26/4000)&amp;" thùng + "&amp;MOD(W26,4000)/100&amp;" túi ",VALUE(W26/100)&amp;"túi")</f>
        <v>17.3túi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600</v>
      </c>
      <c r="L27" s="363" t="str">
        <f>IF(INT(K27/50)&gt;=1,INT(K27/50)&amp;" thùng + "&amp;MOD(K27,50)&amp;" cái ",VALUE(K27/50)&amp;"cái")</f>
        <v xml:space="preserve">12 thùng + 0 cái </v>
      </c>
      <c r="M27" s="293"/>
      <c r="N27" s="81" t="s">
        <v>9</v>
      </c>
      <c r="O27" s="242">
        <v>1400</v>
      </c>
      <c r="P27" s="363" t="str">
        <f>IF(INT(O27/50)&gt;=1,INT(O27/50)&amp;" thùng + "&amp;MOD(O27,50)&amp;" cái ",VALUE(O27/50)&amp;"cái")</f>
        <v xml:space="preserve">28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 t="s">
        <v>396</v>
      </c>
      <c r="AA27" s="278" t="e">
        <f>IF(INT(Z27/400)&gt;=1,INT(Z27/400)&amp;" thùng + "&amp;MOD(Z27,400)/100&amp;" túi ",VALUE(Z27/100)&amp;"túi")</f>
        <v>#VALUE!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 t="s">
        <v>395</v>
      </c>
      <c r="AA28" s="278" t="e">
        <f>IF(INT(Z28/1000)&gt;=1,INT(Z28/1000)&amp;" thùng + "&amp;MOD(Z28,1000)/100&amp;" túi ",VALUE(Z28/100)&amp;"túi")</f>
        <v>#VALUE!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900</v>
      </c>
      <c r="AS28" s="385" t="str">
        <f>IF(INT(AR28/1000)&gt;=1,INT(AR28/1000)&amp;" thùng + "&amp;MOD(AR28,1000)/100&amp;" túi ",VALUE(AR28/100)&amp;"túi")</f>
        <v>9túi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300</v>
      </c>
      <c r="L29" s="363" t="str">
        <f>IF(INT(K29/20)&gt;=1,INT(K29/20)&amp;" thùng + "&amp;MOD(K29,20)&amp;" cái ",VALUE(K29/20)&amp;"cái")</f>
        <v xml:space="preserve">15 thùng + 0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 t="s">
        <v>395</v>
      </c>
      <c r="AA29" s="278" t="e">
        <f>IF(INT(Z29/200)&gt;=1,INT(Z29/200)&amp;" thùng + "&amp;MOD(Z29,200)/50&amp;" túi ",VALUE(Z29/50)&amp;"túi")</f>
        <v>#VALUE!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>
        <v>100</v>
      </c>
      <c r="AP29" s="278" t="str">
        <f>IF(INT(AO29/6000)&gt;=1,INT(AO29/6000)&amp;" thùng + "&amp;MOD(AO29,6000)/100&amp;" túi ",VALUE(AO29/100)&amp;"túi")</f>
        <v>1túi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1000</v>
      </c>
      <c r="L30" s="363" t="str">
        <f>IF(INT(K30/100)&gt;=1,INT(K30/100)&amp;" thùng + "&amp;MOD(K30,100)&amp;" cái ",VALUE(K30/100)&amp;"cái")</f>
        <v xml:space="preserve">10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600</v>
      </c>
      <c r="AA31" s="363" t="str">
        <f>IF(INT(Z31/20)&gt;=1,INT(Z31/20)&amp;" thùng + "&amp;MOD(Z31,20)&amp;" cái ",VALUE(Z31/20)&amp;"cái")</f>
        <v xml:space="preserve">30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1000</v>
      </c>
      <c r="L32" s="363" t="str">
        <f>IF(INT(K32/100)&gt;=1,INT(K32/100)&amp;" thùng + "&amp;MOD(K32,100)&amp;" cái ",VALUE(K32/100)&amp;"cái")</f>
        <v xml:space="preserve">10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600</v>
      </c>
      <c r="AA32" s="278" t="str">
        <f>IF(INT(Z32/200)&gt;=1,INT(Z32/200)&amp;" thùng + "&amp;MOD(Z32,200)/20&amp;" túi ",VALUE(Z32)&amp;"cái")</f>
        <v xml:space="preserve">3 thùng + 0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1200</v>
      </c>
      <c r="X33" s="278" t="str">
        <f>IF(INT(W33/300)&gt;=1,INT(W33/300)&amp;" thùng + "&amp;MOD(W33,300)/100&amp;" túi ",VALUE(W33/100)&amp;"túi")</f>
        <v xml:space="preserve">4 thùng + 0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387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600</v>
      </c>
      <c r="L34" s="277" t="str">
        <f>IF(INT(K34/1000)&gt;=1,INT(K34/1000)&amp;" thùng + "&amp;MOD(K34,1000)/100&amp;" túi ",VALUE(K34/100)&amp;"túi")</f>
        <v>6túi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600</v>
      </c>
      <c r="X34" s="278" t="str">
        <f>IF(INT(W34/1000)&gt;=1,INT(W34/1000)&amp;" thùng + "&amp;MOD(W34,1000)/100&amp;" túi ",VALUE(W34/100)&amp;"túi")</f>
        <v>6túi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 t="s">
        <v>396</v>
      </c>
      <c r="AA35" s="278" t="e">
        <f>IF(INT(Z35/4000)&gt;=1,INT(Z35/4000)&amp;" thùng + "&amp;MOD(Z35,4000)/100&amp;" túi ",VALUE(Z35/100)&amp;"túi")</f>
        <v>#VALUE!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200</v>
      </c>
      <c r="AA36" s="277" t="str">
        <f>IF(INT(Z36/50)&gt;=1,INT(Z36/50)&amp;" thùng + "&amp;MOD(Z36,50)&amp;" cái ",VALUE(Z36)&amp;"cái")</f>
        <v xml:space="preserve">4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102</v>
      </c>
      <c r="AA37" s="277" t="str">
        <f>IF(INT(Z37/1000)&gt;=1,INT(Z37/1000)&amp;" thùng + "&amp;MOD(Z37,1000)/100&amp;" túi ",VALUE(Z37/100)&amp;"túi")</f>
        <v>1.02túi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 t="s">
        <v>397</v>
      </c>
      <c r="AA38" s="278" t="e">
        <f>IF(INT(Z38/3000)&gt;=1,INT(Z38/3000)&amp;" thùng + "&amp;MOD(Z38,3000)/100&amp;" túi ",VALUE(Z38/100)&amp;"túi")</f>
        <v>#VALUE!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 t="s">
        <v>395</v>
      </c>
      <c r="AA39" s="278" t="e">
        <f t="shared" ref="AA39" si="9">IF(INT(Z39/2000)&gt;=1,INT(Z39/2000)&amp;" thùng + "&amp;MOD(Z39,2000)/100&amp;" túi ",VALUE(Z39/100)&amp;"túi")</f>
        <v>#VALUE!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600</v>
      </c>
      <c r="AA41" s="277" t="str">
        <f>IF(INT(Z41/100)&gt;=1,INT(Z41/100)&amp;" thùng + "&amp;MOD(Z41,100)/50&amp;" túi ",VALUE(Z41)&amp;"cái")</f>
        <v xml:space="preserve">6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1200</v>
      </c>
      <c r="AA42" s="278" t="str">
        <f>IF(INT(Z42/3000)&gt;=1,INT(Z42/3000)&amp;" thùng + "&amp;MOD(Z42,3000)/100&amp;" túi ",VALUE(Z42/100)&amp;"túi")</f>
        <v>12túi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600</v>
      </c>
      <c r="AA43" s="277" t="str">
        <f>IF(INT(Z43/1000)&gt;=1,INT(Z43/1000)&amp;" thùng + "&amp;MOD(Z43,1000)/100&amp;" túi ",VALUE(Z43/100)&amp;"túi")</f>
        <v>6túi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600</v>
      </c>
      <c r="AA44" s="278" t="str">
        <f>IF(INT(Z44/4000)&gt;=1,INT(Z44/4000)&amp;" thùng + "&amp;MOD(Z44,4000)/100&amp;" túi ",VALUE(Z44/100)&amp;"túi")</f>
        <v>6túi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>
        <v>100</v>
      </c>
      <c r="AP44" s="278" t="str">
        <f>IF(INT(AO44/25)&gt;=1,INT(AO44/25)&amp;" thùng + "&amp;MOD(AO44,25)/20&amp;" cái ",VALUE(AO44)&amp;"cái")</f>
        <v xml:space="preserve">4 thùng + 0 cái 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1400</v>
      </c>
      <c r="X45" s="277" t="str">
        <f>IF(INT(W45/400)&gt;=1,INT(W45/400)&amp;" thùng + "&amp;MOD(W45,400)/100&amp;" túi ",VALUE(W45)&amp;"cái")</f>
        <v xml:space="preserve">3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1400</v>
      </c>
      <c r="X46" s="278" t="str">
        <f>IF(INT(W46/100)&gt;=1,INT(W46/100)&amp;" thùng + "&amp;MOD(W46,100)/100&amp;" túi ",VALUE(W46)&amp;"cái")</f>
        <v xml:space="preserve">14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600</v>
      </c>
      <c r="X47" s="278" t="str">
        <f>IF(INT(W47/50)&gt;=1,INT(W47/50)&amp;" thùng + "&amp;MOD(W47,50)/10&amp;" túi ",VALUE(W47/10)&amp;"túi")</f>
        <v xml:space="preserve">12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300</v>
      </c>
      <c r="AS47" s="278" t="str">
        <f>IF(INT(AR47/50)&gt;=1,INT(AR47/50)&amp;" thùng + "&amp;MOD(AR47,50)/10&amp;" túi ",VALUE(AR47/10)&amp;"túi")</f>
        <v xml:space="preserve">6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/>
      <c r="X48" s="278" t="str">
        <f>IF(INT(W48/100)&gt;=1,INT(W48/100)&amp;" thùng + "&amp;MOD(W48,100)/100&amp;" túi ",VALUE(W48)&amp;"cái")</f>
        <v>0cái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900</v>
      </c>
      <c r="X49" s="277" t="str">
        <f>IF(INT(W49/600)&gt;=1,INT(W49/600)&amp;" thùng + "&amp;MOD(W49,600)/20&amp;" túi ",VALUE(W49)&amp;"cái")</f>
        <v xml:space="preserve">1 thùng + 15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>
        <v>100</v>
      </c>
      <c r="AP49" s="363" t="str">
        <f>IF(INT(AO49/200)&gt;=1,INT(AO49/200)&amp;" thùng + "&amp;MOD(AO49,200)/100&amp;" túi ",VALUE(AO49)&amp;"cái")</f>
        <v>100cái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100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100</v>
      </c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800</v>
      </c>
      <c r="AP54" s="389" t="str">
        <f>IF(INT(AO54/3000)&gt;=1,INT(AO54/3000)&amp;" thùng + "&amp;MOD(AO54,3000)/100&amp;" túi ",VALUE(AO54/100)&amp;"túi")</f>
        <v>8túi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759"/>
      <c r="G1" s="758"/>
      <c r="H1" s="978" t="s">
        <v>268</v>
      </c>
      <c r="I1" s="979"/>
      <c r="J1" s="979"/>
      <c r="K1" s="979"/>
      <c r="L1" s="980"/>
    </row>
    <row r="2" spans="1:12" ht="26.25" customHeight="1">
      <c r="A2" s="4" t="s">
        <v>391</v>
      </c>
      <c r="B2" s="141"/>
      <c r="C2" s="5"/>
      <c r="D2" s="1033" t="s">
        <v>260</v>
      </c>
      <c r="E2" s="1033"/>
      <c r="F2" s="1034"/>
      <c r="G2" s="766"/>
      <c r="H2" s="440" t="str">
        <f>A2</f>
        <v>Ngày 24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67">
        <v>4</v>
      </c>
      <c r="J3" s="767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67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760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900</v>
      </c>
      <c r="C32" s="278" t="str">
        <f>IF(INT(B32/200)&gt;=1,INT(B32/200)&amp;" thùng + "&amp;MOD(B32,200)&amp;" cái",VALUE(B32)&amp;"cái")</f>
        <v>4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C132"/>
  <sheetViews>
    <sheetView topLeftCell="R1" zoomScale="80" zoomScaleNormal="80" workbookViewId="0">
      <pane ySplit="7" topLeftCell="A8" activePane="bottomLeft" state="frozen"/>
      <selection activeCell="Z27" sqref="Z27"/>
      <selection pane="bottomLeft" activeCell="W36" sqref="W36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768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770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769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398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25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25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25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25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771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780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771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771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781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781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779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777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78"/>
      <c r="K7" s="74" t="s">
        <v>63</v>
      </c>
      <c r="L7" s="74" t="s">
        <v>217</v>
      </c>
      <c r="M7" s="370" t="s">
        <v>230</v>
      </c>
      <c r="N7" s="932"/>
      <c r="O7" s="773" t="s">
        <v>63</v>
      </c>
      <c r="P7" s="773" t="s">
        <v>217</v>
      </c>
      <c r="Q7" s="371" t="s">
        <v>230</v>
      </c>
      <c r="S7" s="939"/>
      <c r="T7" s="74" t="s">
        <v>259</v>
      </c>
      <c r="U7" s="74" t="s">
        <v>217</v>
      </c>
      <c r="V7" s="773" t="s">
        <v>230</v>
      </c>
      <c r="W7" s="74" t="s">
        <v>63</v>
      </c>
      <c r="X7" s="74" t="s">
        <v>217</v>
      </c>
      <c r="Y7" s="773" t="s">
        <v>230</v>
      </c>
      <c r="Z7" s="315" t="s">
        <v>63</v>
      </c>
      <c r="AA7" s="773" t="s">
        <v>217</v>
      </c>
      <c r="AB7" s="394" t="s">
        <v>230</v>
      </c>
      <c r="AC7" s="420"/>
      <c r="AD7" s="1032"/>
      <c r="AE7" s="383" t="s">
        <v>63</v>
      </c>
      <c r="AF7" s="773" t="s">
        <v>217</v>
      </c>
      <c r="AG7" s="773" t="s">
        <v>230</v>
      </c>
      <c r="AH7" s="372" t="s">
        <v>63</v>
      </c>
      <c r="AI7" s="773" t="s">
        <v>217</v>
      </c>
      <c r="AJ7" s="773" t="s">
        <v>230</v>
      </c>
      <c r="AK7" s="772" t="s">
        <v>63</v>
      </c>
      <c r="AL7" s="340" t="s">
        <v>217</v>
      </c>
      <c r="AM7" s="420"/>
      <c r="AN7" s="1021"/>
      <c r="AO7" s="372" t="s">
        <v>63</v>
      </c>
      <c r="AP7" s="773" t="s">
        <v>217</v>
      </c>
      <c r="AQ7" s="773" t="s">
        <v>230</v>
      </c>
      <c r="AR7" s="773" t="s">
        <v>63</v>
      </c>
      <c r="AS7" s="773" t="s">
        <v>217</v>
      </c>
      <c r="AT7" s="773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330</v>
      </c>
      <c r="AI8" s="276" t="str">
        <f>IF(INT(AH8/4000)&gt;=1,INT(AH8/4000)&amp;" thùng + "&amp;MOD(AH8,4000)/100&amp;" túi ",VALUE(AH8/100)&amp;"túi")</f>
        <v>3.3túi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900</v>
      </c>
      <c r="X9" s="278" t="str">
        <f>IF(INT(W9/4000)&gt;=1,INT(W9/4000)&amp;" thùng + "&amp;MOD(W9,4000)/100&amp;" túi ",VALUE(W9/100)&amp;"túi")</f>
        <v>9túi</v>
      </c>
      <c r="Y9" s="313"/>
      <c r="Z9" s="245">
        <v>300</v>
      </c>
      <c r="AA9" s="278" t="str">
        <f>IF(INT(Z9/4000)&gt;=1,INT(Z9/4000)&amp;" thùng + "&amp;MOD(Z9,4000)/100&amp;" túi ",VALUE(Z9/100)&amp;"túi")</f>
        <v>3túi</v>
      </c>
      <c r="AB9" s="397"/>
      <c r="AC9" s="422"/>
      <c r="AD9" s="112" t="s">
        <v>238</v>
      </c>
      <c r="AE9" s="242"/>
      <c r="AF9" s="279"/>
      <c r="AG9" s="293"/>
      <c r="AH9" s="242">
        <v>330</v>
      </c>
      <c r="AI9" s="277" t="str">
        <f>IF(INT(AH9/500)&gt;=1,INT(AH9/500)&amp;" thùng + "&amp;MOD(AH9,500)/100&amp;" túi ",VALUE(AH9/100)&amp;"túi")</f>
        <v>3.3túi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800</v>
      </c>
      <c r="AA11" s="277" t="str">
        <f>IF(INT(Z11/3000)&gt;=1,INT(Z11/3000)&amp;" thùng + "&amp;MOD(Z11,3000)/100&amp;" túi ",VALUE(Z11/100)&amp;"túi")</f>
        <v>8túi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2600</v>
      </c>
      <c r="X12" s="278" t="str">
        <f t="shared" ref="X12" si="1">IF(INT(W12/2000)&gt;=1,INT(W12/2000)&amp;" thùng + "&amp;MOD(W12,2000)/100&amp;" túi ",VALUE(W12/100)&amp;"túi")</f>
        <v xml:space="preserve">1 thùng + 6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800</v>
      </c>
      <c r="L13" s="278" t="str">
        <f>IF(INT(K13/600)&gt;=1,INT(K13/600)&amp;" thùng + "&amp;MOD(K13,600)/100&amp;" túi ",VALUE(K13/100)&amp;"túi")</f>
        <v xml:space="preserve">1 thùng + 2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1300</v>
      </c>
      <c r="X13" s="277" t="str">
        <f>IF(INT(W13/600)&gt;=1,INT(W13/600)&amp;" thùng + "&amp;MOD(W13,600)/100&amp;" túi ",VALUE(W13/100)&amp;"túi")</f>
        <v xml:space="preserve">2 thùng + 1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 t="s">
        <v>137</v>
      </c>
      <c r="AI13" s="277" t="e">
        <f>IF(INT(AH13/600)&gt;=1,INT(AH13/600)&amp;" thùng + "&amp;MOD(AH13,600)/100&amp;" túi ",VALUE(AH13/100)&amp;"túi")</f>
        <v>#VALUE!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800</v>
      </c>
      <c r="L14" s="278" t="str">
        <f>IF(INT(K14/400)&gt;=1,INT(K14/400)&amp;" thùng + "&amp;MOD(K14,400)/100&amp;" túi ",VALUE(K14/100)&amp;"túi")</f>
        <v xml:space="preserve">2 thùng + 0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1300</v>
      </c>
      <c r="X14" s="278" t="str">
        <f>IF(INT(W14/400)&gt;=1,INT(W14/400)&amp;" thùng + "&amp;MOD(W14,400)/100&amp;" túi ",VALUE(W14/100)&amp;"túi")</f>
        <v xml:space="preserve">3 thùng + 1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 t="s">
        <v>137</v>
      </c>
      <c r="AI14" s="278" t="e">
        <f>IF(INT(AH14/400)&gt;=1,INT(AH14/400)&amp;" thùng + "&amp;MOD(AH14,400)/100&amp;" túi ",VALUE(AH14/100)&amp;"túi")</f>
        <v>#VALUE!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800</v>
      </c>
      <c r="L15" s="278" t="str">
        <f>IF(INT(K15/600)&gt;=1,INT(K15/600)&amp;" thùng + "&amp;MOD(K15,600)/100&amp;" túi ",VALUE(K15/100)&amp;"túi")</f>
        <v xml:space="preserve">1 thùng + 2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1300</v>
      </c>
      <c r="X15" s="277" t="str">
        <f>IF(INT(W15/600)&gt;=1,INT(W15/600)&amp;" thùng + "&amp;MOD(W15,600)/100&amp;" túi ",VALUE(W15/100)&amp;"túi")</f>
        <v xml:space="preserve">2 thùng + 1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800</v>
      </c>
      <c r="L16" s="278" t="str">
        <f>IF(INT(K16/400)&gt;=1,INT(K16/400)&amp;" thùng + "&amp;MOD(K16,400)/100&amp;" túi ",VALUE(K16/100)&amp;"túi")</f>
        <v xml:space="preserve">2 thùng + 0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1300</v>
      </c>
      <c r="X16" s="278" t="str">
        <f>IF(INT(W16/400)&gt;=1,INT(W16/400)&amp;" thùng + "&amp;MOD(W16,400)/100&amp;" túi ",VALUE(W16/100)&amp;"túi")</f>
        <v xml:space="preserve">3 thùng + 1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 t="s">
        <v>137</v>
      </c>
      <c r="AI16" s="278" t="e">
        <f>IF(INT(AH16/400)&gt;=1,INT(AH16/400)&amp;" thùng + "&amp;MOD(AH16,400)/100&amp;" túi ",VALUE(AH16/100)&amp;"túi")</f>
        <v>#VALUE!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800</v>
      </c>
      <c r="L17" s="277" t="str">
        <f>IF(INT(K17/200)&gt;=1,INT(K17/200)&amp;" thùng + "&amp;MOD(K17,200)/50&amp;" túi ",VALUE(K17/50)&amp;"túi")</f>
        <v xml:space="preserve">4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200</v>
      </c>
      <c r="AP17" s="277" t="str">
        <f>IF(INT(AO17/200)&gt;=1,INT(AO17/200)&amp;" thùng + "&amp;MOD(AO17,200)/50&amp;" túi",VALUE(AO17/50)&amp;"túi")</f>
        <v>1 thùng + 0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800</v>
      </c>
      <c r="L18" s="278" t="str">
        <f>IF(INT(K18/1200)&gt;=1,INT(K18/1200)&amp;" thùng + "&amp;MOD(K18,1200)/100&amp;" túi ",VALUE(K18/100)&amp;"túi")</f>
        <v>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330</v>
      </c>
      <c r="AI18" s="277" t="str">
        <f>IF(INT(AH18/600)&gt;=1,INT(AH18/600)&amp;" thùng + "&amp;MOD(AH18,600)&amp;" cái ",VALUE(AH18/100)&amp;"túi")</f>
        <v>3.3túi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18600</v>
      </c>
      <c r="L19" s="277" t="str">
        <f>IF(INT(K19/4000)&gt;=1,INT(K19/4000)&amp;" thùng + "&amp;MOD(K19,4000)/100&amp;" túi ",VALUE(K19/100)&amp;"túi")</f>
        <v xml:space="preserve">4 thùng + 26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10000</v>
      </c>
      <c r="X19" s="277" t="str">
        <f>IF(INT(W19/4000)&gt;=1,INT(W19/4000)&amp;" thùng + "&amp;MOD(W19,4000)&amp;" cái ",VALUE(W19/100)&amp;"túi")</f>
        <v xml:space="preserve">2 thùng + 2000 cái </v>
      </c>
      <c r="Y19" s="291"/>
      <c r="Z19" s="244">
        <v>10700</v>
      </c>
      <c r="AA19" s="278" t="str">
        <f>IF(INT(Z19/4000)&gt;=1,INT(Z19/4000)&amp;" thùng + "&amp;MOD(Z19,4000)/100&amp;" túi ",VALUE(Z19/100)&amp;"túi")</f>
        <v xml:space="preserve">2 thùng + 27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1000</v>
      </c>
      <c r="AS19" s="277" t="str">
        <f>IF(INT(AR19/4000)&gt;=1,INT(AR19/4000)&amp;" thùng + "&amp;MOD(AR19,4000)&amp;" cái ",VALUE(AR19/100)&amp;"túi")</f>
        <v>10túi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300</v>
      </c>
      <c r="AA21" s="278" t="str">
        <f>IF(INT(Z21/400)&gt;=1,INT(Z21/400)&amp;" thùng + "&amp;MOD(Z21,400)/100&amp;" túi ",VALUE(Z21/100)&amp;"túi")</f>
        <v>3túi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1500</v>
      </c>
      <c r="U23" s="277" t="str">
        <f>IF(INT(T23/600)&gt;=1,INT(T23/600)&amp;" thùng + "&amp;MOD(T23,600)/100&amp;" túi ",VALUE(T23/100)&amp;"túi")</f>
        <v xml:space="preserve">2 thùng + 3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300</v>
      </c>
      <c r="AA23" s="277" t="str">
        <f>IF(INT(Z23/600)&gt;=1,INT(Z23/600)&amp;" thùng + "&amp;MOD(Z23,600)/100&amp;" túi ",VALUE(Z23/100)&amp;"túi")</f>
        <v>3túi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100</v>
      </c>
      <c r="AS23" s="277" t="str">
        <f>IF(INT(AR23/400)&gt;=1,INT(AR23/400)&amp;" thùng + "&amp;MOD(AR23,400)&amp;" cái ",VALUE(AR23)&amp;"cái")</f>
        <v>100cái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300</v>
      </c>
      <c r="AA24" s="277" t="str">
        <f>IF(INT(Z24/500)&gt;=1,INT(Z24/500)&amp;" thùng + "&amp;MOD(Z24,500)/100&amp;" túi ",VALUE(Z24/100)&amp;"túi")</f>
        <v>3túi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100</v>
      </c>
      <c r="AS24" s="277" t="str">
        <f>IF(INT(AR24/250)&gt;=1,INT(AR24/250)&amp;" thùng + "&amp;MOD(AR24,250)&amp;" cái ",VALUE(AR24)&amp;"cái")</f>
        <v>100cái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>
        <v>100</v>
      </c>
      <c r="AP25" s="277" t="str">
        <f>IF(INT(AO25/500)&gt;=1,INT(AO25/500)&amp;" thùng + "&amp;MOD(AO25,500)/100&amp;" túi ",VALUE(AO25/100)&amp;"túi")</f>
        <v>1túi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3460</v>
      </c>
      <c r="C26" s="277" t="str">
        <f>IF(INT(B26/4000)&gt;=1,INT(B26/4000)&amp;" thùng + "&amp;MOD(B26,4000)/100&amp;" túi ",VALUE(B26/100)&amp;"túi")</f>
        <v>34.6túi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352</v>
      </c>
      <c r="U26" s="278" t="e">
        <f>IF(INT(T26/4000)&gt;=1,INT(T26/4000)&amp;" thùng + "&amp;MOD(T26,4000)/100&amp;" túi ",VALUE(T26/100)&amp;"túi")</f>
        <v>#VALUE!</v>
      </c>
      <c r="V26" s="291"/>
      <c r="W26" s="244"/>
      <c r="X26" s="278" t="str">
        <f>IF(INT(W26/4000)&gt;=1,INT(W26/4000)&amp;" thùng + "&amp;MOD(W26,4000)/100&amp;" túi ",VALUE(W26/100)&amp;"túi")</f>
        <v>0túi</v>
      </c>
      <c r="Y26" s="292"/>
      <c r="Z26" s="244">
        <v>1300</v>
      </c>
      <c r="AA26" s="277" t="str">
        <f>IF(INT(Z26/3000)&gt;=1,INT(Z26/3000)&amp;" thùng + "&amp;MOD(Z26,3000)/100&amp;" túi ",VALUE(Z26/100)&amp;"túi")</f>
        <v>13túi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600</v>
      </c>
      <c r="AA27" s="278" t="str">
        <f>IF(INT(Z27/400)&gt;=1,INT(Z27/400)&amp;" thùng + "&amp;MOD(Z27,400)/100&amp;" túi ",VALUE(Z27/100)&amp;"túi")</f>
        <v xml:space="preserve">1 thùng + 2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>
        <v>4138</v>
      </c>
      <c r="C28" s="277" t="str">
        <f>IF(INT(B28/3000)&gt;=1,INT(B28/3000)&amp;" thùng + "&amp;MOD(B28,3000)/100&amp;" túi ",VALUE(B28/100)&amp;"túi")</f>
        <v xml:space="preserve">1 thùng + 11.38 túi 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100</v>
      </c>
      <c r="AA28" s="278" t="str">
        <f>IF(INT(Z28/1000)&gt;=1,INT(Z28/1000)&amp;" thùng + "&amp;MOD(Z28,1000)/100&amp;" túi ",VALUE(Z28/100)&amp;"túi")</f>
        <v>1túi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900</v>
      </c>
      <c r="AS28" s="385" t="str">
        <f>IF(INT(AR28/1000)&gt;=1,INT(AR28/1000)&amp;" thùng + "&amp;MOD(AR28,1000)/100&amp;" túi ",VALUE(AR28/100)&amp;"túi")</f>
        <v>9túi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300</v>
      </c>
      <c r="AA29" s="278" t="str">
        <f>IF(INT(Z29/200)&gt;=1,INT(Z29/200)&amp;" thùng + "&amp;MOD(Z29,200)/50&amp;" túi ",VALUE(Z29/50)&amp;"túi")</f>
        <v xml:space="preserve">1 thùng + 2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>
        <v>100</v>
      </c>
      <c r="AP29" s="278" t="str">
        <f>IF(INT(AO29/6000)&gt;=1,INT(AO29/6000)&amp;" thùng + "&amp;MOD(AO29,6000)/100&amp;" túi ",VALUE(AO29/100)&amp;"túi")</f>
        <v>1túi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400</v>
      </c>
      <c r="AA31" s="363" t="str">
        <f>IF(INT(Z31/20)&gt;=1,INT(Z31/20)&amp;" thùng + "&amp;MOD(Z31,20)&amp;" cái ",VALUE(Z31/20)&amp;"cái")</f>
        <v xml:space="preserve">20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400</v>
      </c>
      <c r="AA32" s="278" t="str">
        <f>IF(INT(Z32/200)&gt;=1,INT(Z32/200)&amp;" thùng + "&amp;MOD(Z32,200)/20&amp;" túi ",VALUE(Z32)&amp;"cái")</f>
        <v xml:space="preserve">2 thùng + 0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387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500</v>
      </c>
      <c r="L34" s="277" t="str">
        <f>IF(INT(K34/1000)&gt;=1,INT(K34/1000)&amp;" thùng + "&amp;MOD(K34,1000)/100&amp;" túi ",VALUE(K34/100)&amp;"túi")</f>
        <v>5túi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700</v>
      </c>
      <c r="X34" s="278" t="str">
        <f>IF(INT(W34/1000)&gt;=1,INT(W34/1000)&amp;" thùng + "&amp;MOD(W34,1000)/100&amp;" túi ",VALUE(W34/100)&amp;"túi")</f>
        <v>7túi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600</v>
      </c>
      <c r="AA35" s="278" t="str">
        <f>IF(INT(Z35/4000)&gt;=1,INT(Z35/4000)&amp;" thùng + "&amp;MOD(Z35,4000)/100&amp;" túi ",VALUE(Z35/100)&amp;"túi")</f>
        <v>6túi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600</v>
      </c>
      <c r="AA36" s="277" t="str">
        <f>IF(INT(Z36/50)&gt;=1,INT(Z36/50)&amp;" thùng + "&amp;MOD(Z36,50)&amp;" cái ",VALUE(Z36)&amp;"cái")</f>
        <v xml:space="preserve">12 thùng + 0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300</v>
      </c>
      <c r="AA37" s="277" t="str">
        <f>IF(INT(Z37/1000)&gt;=1,INT(Z37/1000)&amp;" thùng + "&amp;MOD(Z37,1000)/100&amp;" túi ",VALUE(Z37/100)&amp;"túi")</f>
        <v>3túi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14700</v>
      </c>
      <c r="C38" s="277" t="str">
        <f>IF(INT(B38/4000)&gt;=1,INT(B38/4000)&amp;" thùng + "&amp;MOD(B38,4000)/100&amp;" túi ",VALUE(B38/100)&amp;"túi")</f>
        <v xml:space="preserve">3 thùng + 27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1200</v>
      </c>
      <c r="AA38" s="278" t="str">
        <f>IF(INT(Z38/3000)&gt;=1,INT(Z38/3000)&amp;" thùng + "&amp;MOD(Z38,3000)/100&amp;" túi ",VALUE(Z38/100)&amp;"túi")</f>
        <v>12túi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300</v>
      </c>
      <c r="AA39" s="278" t="str">
        <f t="shared" ref="AA39" si="9">IF(INT(Z39/2000)&gt;=1,INT(Z39/2000)&amp;" thùng + "&amp;MOD(Z39,2000)/100&amp;" túi ",VALUE(Z39/100)&amp;"túi")</f>
        <v>3túi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400</v>
      </c>
      <c r="AA41" s="277" t="str">
        <f>IF(INT(Z41/100)&gt;=1,INT(Z41/100)&amp;" thùng + "&amp;MOD(Z41,100)/50&amp;" túi ",VALUE(Z41)&amp;"cái")</f>
        <v xml:space="preserve">4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800</v>
      </c>
      <c r="AA42" s="278" t="str">
        <f>IF(INT(Z42/3000)&gt;=1,INT(Z42/3000)&amp;" thùng + "&amp;MOD(Z42,3000)/100&amp;" túi ",VALUE(Z42/100)&amp;"túi")</f>
        <v>8túi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400</v>
      </c>
      <c r="AA43" s="277" t="str">
        <f>IF(INT(Z43/1000)&gt;=1,INT(Z43/1000)&amp;" thùng + "&amp;MOD(Z43,1000)/100&amp;" túi ",VALUE(Z43/100)&amp;"túi")</f>
        <v>4túi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400</v>
      </c>
      <c r="AA44" s="278" t="str">
        <f>IF(INT(Z44/4000)&gt;=1,INT(Z44/4000)&amp;" thùng + "&amp;MOD(Z44,4000)/100&amp;" túi ",VALUE(Z44/100)&amp;"túi")</f>
        <v>4túi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>
        <v>100</v>
      </c>
      <c r="AP44" s="278" t="str">
        <f>IF(INT(AO44/25)&gt;=1,INT(AO44/25)&amp;" thùng + "&amp;MOD(AO44,25)/20&amp;" cái ",VALUE(AO44)&amp;"cái")</f>
        <v xml:space="preserve">4 thùng + 0 cái 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300</v>
      </c>
      <c r="AS47" s="278" t="str">
        <f>IF(INT(AR47/50)&gt;=1,INT(AR47/50)&amp;" thùng + "&amp;MOD(AR47,50)/10&amp;" túi ",VALUE(AR47/10)&amp;"túi")</f>
        <v xml:space="preserve">6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600</v>
      </c>
      <c r="X49" s="277" t="str">
        <f>IF(INT(W49/600)&gt;=1,INT(W49/600)&amp;" thùng + "&amp;MOD(W49,600)/20&amp;" túi ",VALUE(W49)&amp;"cái")</f>
        <v xml:space="preserve">1 thùng + 0 túi 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>
        <v>100</v>
      </c>
      <c r="AP49" s="363" t="str">
        <f>IF(INT(AO49/200)&gt;=1,INT(AO49/200)&amp;" thùng + "&amp;MOD(AO49,200)/100&amp;" túi ",VALUE(AO49)&amp;"cái")</f>
        <v>100cái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100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100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>
        <v>100</v>
      </c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400</v>
      </c>
      <c r="AP54" s="389" t="str">
        <f>IF(INT(AO54/3000)&gt;=1,INT(AO54/3000)&amp;" thùng + "&amp;MOD(AO54,3000)/100&amp;" túi ",VALUE(AO54/100)&amp;"túi")</f>
        <v>4túi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F1" sqref="F1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775"/>
      <c r="G1" s="774"/>
      <c r="H1" s="978" t="s">
        <v>268</v>
      </c>
      <c r="I1" s="979"/>
      <c r="J1" s="979"/>
      <c r="K1" s="979"/>
      <c r="L1" s="980"/>
    </row>
    <row r="2" spans="1:12" ht="26.25" customHeight="1">
      <c r="A2" s="4" t="s">
        <v>398</v>
      </c>
      <c r="B2" s="141"/>
      <c r="C2" s="5"/>
      <c r="D2" s="1033" t="s">
        <v>260</v>
      </c>
      <c r="E2" s="1033"/>
      <c r="F2" s="1034"/>
      <c r="G2" s="782"/>
      <c r="H2" s="440" t="str">
        <f>A2</f>
        <v>Ngày 25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83">
        <v>4</v>
      </c>
      <c r="J3" s="783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83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776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400</v>
      </c>
      <c r="C19" s="278" t="str">
        <f>IF(INT(B19/6000)&gt;=1,INT(B19/6000)&amp;" thùng + "&amp;MOD(B19,6000)/100&amp;" túi ",VALUE(B19/100)&amp;"túi")</f>
        <v>4túi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400</v>
      </c>
      <c r="C20" s="278" t="str">
        <f>IF(INT(B20/1200)&gt;=1,INT(B20/1200)&amp;" thùng + "&amp;MOD(B20,1200)/100&amp;" túi ",VALUE(B20/100)&amp;"túi")</f>
        <v>4túi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400</v>
      </c>
      <c r="C21" s="277" t="str">
        <f>IF(INT(B21/25)&gt;=1,INT(B21/25)&amp;" thùng + "&amp;MOD(B21,25)&amp;" cái ",VALUE(B21/25)&amp;"cái")</f>
        <v xml:space="preserve">16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800</v>
      </c>
      <c r="C22" s="278" t="str">
        <f>IF(INT(B22/100)&gt;=1,INT(B22/100)&amp;" thùng + "&amp;MOD(B22,100)/100&amp;" túi ",VALUE(B22/100)&amp;"túi")</f>
        <v xml:space="preserve">8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800</v>
      </c>
      <c r="C23" s="278" t="str">
        <f t="shared" ref="C23" si="0">IF(INT(B23/2000)&gt;=1,INT(B23/2000)&amp;" thùng + "&amp;MOD(B23,2000)/100&amp;" túi ",VALUE(B23/100)&amp;"túi")</f>
        <v>8túi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800</v>
      </c>
      <c r="C24" s="278" t="str">
        <f>IF(INT(B24/100)&gt;=1,INT(B24/100)&amp;" thùng + "&amp;MOD(B24,100)/100&amp;" túi ",VALUE(B24/100)&amp;"túi")</f>
        <v xml:space="preserve">8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400</v>
      </c>
      <c r="C25" s="278" t="str">
        <f>IF(INT(B25/500)&gt;=1,INT(B25/500)&amp;" thùng + "&amp;MOD(B25,500)/100&amp;" túi ",VALUE(B25/100)&amp;"túi")</f>
        <v>4túi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400</v>
      </c>
      <c r="C26" s="278" t="str">
        <f>IF(INT(B26/500)&gt;=1,INT(B26/500)&amp;" thùng + "&amp;MOD(B26,500)/100&amp;" túi ",VALUE(B26/100)&amp;"túi")</f>
        <v>4túi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400</v>
      </c>
      <c r="C27" s="278" t="str">
        <f>IF(INT(B27/200)&gt;=1,INT(B27/200)&amp;" thùng + "&amp;MOD(B27,200)/100&amp;" túi ",VALUE(B27/100)&amp;"cái")</f>
        <v xml:space="preserve">2 thùng + 0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f>5600</f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800</v>
      </c>
      <c r="C36" s="278" t="str">
        <f t="shared" ref="C36" si="1">IF(INT(B36/2000)&gt;=1,INT(B36/2000)&amp;" thùng + "&amp;MOD(B36,2000)/100&amp;" túi ",VALUE(B36/100)&amp;"túi")</f>
        <v>8túi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>
        <v>800</v>
      </c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B44" s="145" t="s">
        <v>422</v>
      </c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C132"/>
  <sheetViews>
    <sheetView zoomScale="112" zoomScaleNormal="112" workbookViewId="0">
      <pane ySplit="7" topLeftCell="A8" activePane="bottomLeft" state="frozen"/>
      <selection activeCell="Z27" sqref="Z27"/>
      <selection pane="bottomLeft" sqref="A1:AW9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784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786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785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399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26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26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26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26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787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796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787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787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797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797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795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793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794"/>
      <c r="K7" s="74" t="s">
        <v>63</v>
      </c>
      <c r="L7" s="74" t="s">
        <v>217</v>
      </c>
      <c r="M7" s="370" t="s">
        <v>230</v>
      </c>
      <c r="N7" s="932"/>
      <c r="O7" s="789" t="s">
        <v>63</v>
      </c>
      <c r="P7" s="789" t="s">
        <v>217</v>
      </c>
      <c r="Q7" s="371" t="s">
        <v>230</v>
      </c>
      <c r="S7" s="939"/>
      <c r="T7" s="74" t="s">
        <v>259</v>
      </c>
      <c r="U7" s="74" t="s">
        <v>217</v>
      </c>
      <c r="V7" s="789" t="s">
        <v>230</v>
      </c>
      <c r="W7" s="74" t="s">
        <v>63</v>
      </c>
      <c r="X7" s="74" t="s">
        <v>217</v>
      </c>
      <c r="Y7" s="789" t="s">
        <v>230</v>
      </c>
      <c r="Z7" s="315" t="s">
        <v>63</v>
      </c>
      <c r="AA7" s="789" t="s">
        <v>217</v>
      </c>
      <c r="AB7" s="394" t="s">
        <v>230</v>
      </c>
      <c r="AC7" s="420"/>
      <c r="AD7" s="1032"/>
      <c r="AE7" s="383" t="s">
        <v>63</v>
      </c>
      <c r="AF7" s="789" t="s">
        <v>217</v>
      </c>
      <c r="AG7" s="789" t="s">
        <v>230</v>
      </c>
      <c r="AH7" s="372" t="s">
        <v>63</v>
      </c>
      <c r="AI7" s="789" t="s">
        <v>217</v>
      </c>
      <c r="AJ7" s="789" t="s">
        <v>230</v>
      </c>
      <c r="AK7" s="788" t="s">
        <v>63</v>
      </c>
      <c r="AL7" s="340" t="s">
        <v>217</v>
      </c>
      <c r="AM7" s="420"/>
      <c r="AN7" s="1021"/>
      <c r="AO7" s="372" t="s">
        <v>63</v>
      </c>
      <c r="AP7" s="789" t="s">
        <v>217</v>
      </c>
      <c r="AQ7" s="789" t="s">
        <v>230</v>
      </c>
      <c r="AR7" s="789" t="s">
        <v>63</v>
      </c>
      <c r="AS7" s="789" t="s">
        <v>217</v>
      </c>
      <c r="AT7" s="789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1920</v>
      </c>
      <c r="U8" s="277" t="str">
        <f>IF(INT(T8/400)&gt;=1,INT(T8/400)&amp;" thùng + "&amp;MOD(T8,400)/50&amp;" túi ",VALUE(T8/50)&amp;"cái")</f>
        <v xml:space="preserve">4 thùng + 6.4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230</v>
      </c>
      <c r="AI8" s="276" t="str">
        <f>IF(INT(AH8/4000)&gt;=1,INT(AH8/4000)&amp;" thùng + "&amp;MOD(AH8,4000)/100&amp;" túi ",VALUE(AH8/100)&amp;"túi")</f>
        <v>2.3túi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298</v>
      </c>
      <c r="AA9" s="278" t="str">
        <f>IF(INT(Z9/4000)&gt;=1,INT(Z9/4000)&amp;" thùng + "&amp;MOD(Z9,4000)/100&amp;" túi ",VALUE(Z9/100)&amp;"túi")</f>
        <v>2.98túi</v>
      </c>
      <c r="AB9" s="397"/>
      <c r="AC9" s="422"/>
      <c r="AD9" s="112" t="s">
        <v>238</v>
      </c>
      <c r="AE9" s="242"/>
      <c r="AF9" s="279"/>
      <c r="AG9" s="293"/>
      <c r="AH9" s="242">
        <v>230</v>
      </c>
      <c r="AI9" s="277" t="str">
        <f>IF(INT(AH9/500)&gt;=1,INT(AH9/500)&amp;" thùng + "&amp;MOD(AH9,500)/100&amp;" túi ",VALUE(AH9/100)&amp;"túi")</f>
        <v>2.3túi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600</v>
      </c>
      <c r="L10" s="278" t="str">
        <f>IF(INT(K10/500)&gt;=1,INT(K10/500)&amp;" thùng + "&amp;MOD(K10,500)/100&amp;" túi ",VALUE(K10/100)&amp;"túi")</f>
        <v xml:space="preserve">1 thùng + 1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200</v>
      </c>
      <c r="AP10" s="278" t="str">
        <f>IF(INT(AO10/500)&gt;=1,INT(AO10/500)&amp;" thùng + "&amp;MOD(AO10,500)/100&amp;" túi ",VALUE(AO10/100)&amp;"túi")</f>
        <v>2túi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1600</v>
      </c>
      <c r="L11" s="277" t="str">
        <f t="shared" ref="L11:L12" si="0">IF(INT(K11/2000)&gt;=1,INT(K11/2000)&amp;" thùng + "&amp;MOD(K11,2000)/100&amp;" túi ",VALUE(K11/100)&amp;"túi")</f>
        <v>16túi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800</v>
      </c>
      <c r="AA11" s="277" t="str">
        <f>IF(INT(Z11/3000)&gt;=1,INT(Z11/3000)&amp;" thùng + "&amp;MOD(Z11,3000)/100&amp;" túi ",VALUE(Z11/100)&amp;"túi")</f>
        <v>8túi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600</v>
      </c>
      <c r="AI11" s="277" t="str">
        <f>IF(INT(AH11/2000)&gt;=1,INT(AH11/2000)&amp;" thùng + "&amp;MOD(AH11,2000)/100&amp;" túi ",VALUE(AH11/100)&amp;"túi")</f>
        <v>6túi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2800</v>
      </c>
      <c r="L12" s="278" t="str">
        <f t="shared" si="0"/>
        <v xml:space="preserve">1 thùng + 8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2400</v>
      </c>
      <c r="X12" s="278" t="str">
        <f t="shared" ref="X12" si="1">IF(INT(W12/2000)&gt;=1,INT(W12/2000)&amp;" thùng + "&amp;MOD(W12,2000)/100&amp;" túi ",VALUE(W12/100)&amp;"túi")</f>
        <v xml:space="preserve">1 thùng + 4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/>
      <c r="AP12" s="385" t="str">
        <f t="shared" ref="AP12" si="3">IF(INT(AO12/2000)&gt;=1,INT(AO12/2000)&amp;" thùng + "&amp;MOD(AO12,2000)/100&amp;" túi ",VALUE(AO12/100)&amp;"túi")</f>
        <v>0túi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900</v>
      </c>
      <c r="L13" s="278" t="str">
        <f>IF(INT(K13/600)&gt;=1,INT(K13/600)&amp;" thùng + "&amp;MOD(K13,600)/100&amp;" túi ",VALUE(K13/100)&amp;"túi")</f>
        <v xml:space="preserve">1 thùng + 3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1400</v>
      </c>
      <c r="X13" s="277" t="str">
        <f>IF(INT(W13/600)&gt;=1,INT(W13/600)&amp;" thùng + "&amp;MOD(W13,600)/100&amp;" túi ",VALUE(W13/100)&amp;"túi")</f>
        <v xml:space="preserve">2 thùng + 2 túi </v>
      </c>
      <c r="Y13" s="291"/>
      <c r="Z13" s="244">
        <v>698</v>
      </c>
      <c r="AA13" s="277" t="str">
        <f>IF(INT(Z13/600)&gt;=1,INT(Z13/600)&amp;" thùng + "&amp;MOD(Z13,600)&amp;" cái ",VALUE(Z13)&amp;"cái")</f>
        <v xml:space="preserve">1 thùng + 98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>
        <v>200</v>
      </c>
      <c r="AI13" s="277" t="str">
        <f>IF(INT(AH13/600)&gt;=1,INT(AH13/600)&amp;" thùng + "&amp;MOD(AH13,600)/100&amp;" túi ",VALUE(AH13/100)&amp;"túi")</f>
        <v>2túi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900</v>
      </c>
      <c r="L14" s="278" t="str">
        <f>IF(INT(K14/400)&gt;=1,INT(K14/400)&amp;" thùng + "&amp;MOD(K14,400)/100&amp;" túi ",VALUE(K14/100)&amp;"túi")</f>
        <v xml:space="preserve">2 thùng + 1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698</v>
      </c>
      <c r="AA14" s="278" t="str">
        <f>IF(INT(Z14/400)&gt;=1,INT(Z14/400)&amp;" thùng + "&amp;MOD(Z14,400)&amp;" cái ",VALUE(Z14/100)&amp;"túi")</f>
        <v xml:space="preserve">1 thùng + 298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>
        <v>200</v>
      </c>
      <c r="AI14" s="278" t="str">
        <f>IF(INT(AH14/400)&gt;=1,INT(AH14/400)&amp;" thùng + "&amp;MOD(AH14,400)/100&amp;" túi ",VALUE(AH14/100)&amp;"túi")</f>
        <v>2túi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900</v>
      </c>
      <c r="L15" s="278" t="str">
        <f>IF(INT(K15/600)&gt;=1,INT(K15/600)&amp;" thùng + "&amp;MOD(K15,600)/100&amp;" túi ",VALUE(K15/100)&amp;"túi")</f>
        <v xml:space="preserve">1 thùng + 3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698</v>
      </c>
      <c r="AA15" s="277" t="str">
        <f>IF(INT(Z15/600)&gt;=1,INT(Z15/600)&amp;" thùng + "&amp;MOD(Z15,600)&amp;" cái ",VALUE(Z15)&amp;"cái")</f>
        <v xml:space="preserve">1 thùng + 98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300</v>
      </c>
      <c r="AI15" s="277" t="str">
        <f>IF(INT(AH15/600)&gt;=1,INT(AH15/600)&amp;" thùng + "&amp;MOD(AH15,600)/100&amp;" túi ",VALUE(AH15/100)&amp;"túi")</f>
        <v>3túi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900</v>
      </c>
      <c r="L16" s="278" t="str">
        <f>IF(INT(K16/400)&gt;=1,INT(K16/400)&amp;" thùng + "&amp;MOD(K16,400)/100&amp;" túi ",VALUE(K16/100)&amp;"túi")</f>
        <v xml:space="preserve">2 thùng + 1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698</v>
      </c>
      <c r="AA16" s="278" t="str">
        <f>IF(INT(Z16/400)&gt;=1,INT(Z16/400)&amp;" thùng + "&amp;MOD(Z16,400)&amp;" cái ",VALUE(Z16/100)&amp;"túi")</f>
        <v xml:space="preserve">1 thùng + 298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>
        <v>200</v>
      </c>
      <c r="AI16" s="278" t="str">
        <f>IF(INT(AH16/400)&gt;=1,INT(AH16/400)&amp;" thùng + "&amp;MOD(AH16,400)/100&amp;" túi ",VALUE(AH16/100)&amp;"túi")</f>
        <v>2túi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900</v>
      </c>
      <c r="L17" s="277" t="str">
        <f>IF(INT(K17/200)&gt;=1,INT(K17/200)&amp;" thùng + "&amp;MOD(K17,200)/50&amp;" túi ",VALUE(K17/50)&amp;"túi")</f>
        <v xml:space="preserve">4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>
        <v>698</v>
      </c>
      <c r="AA17" s="277" t="str">
        <f>IF(INT(Z17/200)&gt;=1,INT(Z17/200)&amp;" thùng + "&amp;MOD(Z17,200)&amp;" cái ",VALUE(Z17/50)&amp;"túi")</f>
        <v xml:space="preserve">3 thùng + 98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300</v>
      </c>
      <c r="AI17" s="277" t="str">
        <f>IF(INT(AH17/200)&gt;=1,INT(AH17/200)&amp;" thùng + "&amp;MOD(AH17,200)/50&amp;" túi ",VALUE(AH17/50)&amp;"túi")</f>
        <v xml:space="preserve">1 thùng + 2 túi </v>
      </c>
      <c r="AJ17" s="291"/>
      <c r="AK17" s="227"/>
      <c r="AL17" s="91"/>
      <c r="AM17" s="430"/>
      <c r="AN17" s="117" t="s">
        <v>74</v>
      </c>
      <c r="AO17" s="242">
        <v>600</v>
      </c>
      <c r="AP17" s="277" t="str">
        <f>IF(INT(AO17/200)&gt;=1,INT(AO17/200)&amp;" thùng + "&amp;MOD(AO17,200)/50&amp;" túi",VALUE(AO17/50)&amp;"túi")</f>
        <v>3 thùng + 0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900</v>
      </c>
      <c r="L18" s="278" t="str">
        <f>IF(INT(K18/1200)&gt;=1,INT(K18/1200)&amp;" thùng + "&amp;MOD(K18,1200)/100&amp;" túi ",VALUE(K18/100)&amp;"túi")</f>
        <v>9túi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700</v>
      </c>
      <c r="X18" s="278" t="str">
        <f>IF(INT(W18/200)&gt;=1,INT(W18/200)&amp;" thùng + "&amp;MOD(W18,200)/50&amp;" túi ",VALUE(W18/50)&amp;"túi")</f>
        <v xml:space="preserve">3 thùng + 2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230</v>
      </c>
      <c r="AI18" s="277" t="str">
        <f>IF(INT(AH18/600)&gt;=1,INT(AH18/600)&amp;" thùng + "&amp;MOD(AH18,600)&amp;" cái ",VALUE(AH18/100)&amp;"túi")</f>
        <v>2.3túi</v>
      </c>
      <c r="AJ18" s="292"/>
      <c r="AK18" s="246"/>
      <c r="AL18" s="102"/>
      <c r="AM18" s="417"/>
      <c r="AN18" s="103" t="s">
        <v>81</v>
      </c>
      <c r="AO18" s="441">
        <v>200</v>
      </c>
      <c r="AP18" s="278" t="str">
        <f>IF(INT(AO18/1200)&gt;=1,INT(AO18/1200)&amp;" thùng + "&amp;MOD(AO18,1200)/100&amp;" túi ",VALUE(AO18/100)&amp;"túi")</f>
        <v>2túi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18700</v>
      </c>
      <c r="L19" s="277" t="str">
        <f>IF(INT(K19/4000)&gt;=1,INT(K19/4000)&amp;" thùng + "&amp;MOD(K19,4000)/100&amp;" túi ",VALUE(K19/100)&amp;"túi")</f>
        <v xml:space="preserve">4 thùng + 27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9300</v>
      </c>
      <c r="X19" s="277" t="str">
        <f>IF(INT(W19/4000)&gt;=1,INT(W19/4000)&amp;" thùng + "&amp;MOD(W19,4000)&amp;" cái ",VALUE(W19/100)&amp;"túi")</f>
        <v xml:space="preserve">2 thùng + 1300 cái </v>
      </c>
      <c r="Y19" s="291"/>
      <c r="Z19" s="244">
        <v>10690</v>
      </c>
      <c r="AA19" s="278" t="str">
        <f>IF(INT(Z19/4000)&gt;=1,INT(Z19/4000)&amp;" thùng + "&amp;MOD(Z19,4000)/100&amp;" túi ",VALUE(Z19/100)&amp;"túi")</f>
        <v xml:space="preserve">2 thùng + 26.9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2100</v>
      </c>
      <c r="AI19" s="277" t="str">
        <f>IF(INT(AH19/4000)&gt;=1,INT(AH19/4000)&amp;" thùng + "&amp;MOD(AH19,4000)&amp;" cái ",VALUE(AH19/100)&amp;"túi")</f>
        <v>21túi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1000</v>
      </c>
      <c r="AS19" s="277" t="str">
        <f>IF(INT(AR19/4000)&gt;=1,INT(AR19/4000)&amp;" thùng + "&amp;MOD(AR19,4000)&amp;" cái ",VALUE(AR19/100)&amp;"túi")</f>
        <v>10túi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600</v>
      </c>
      <c r="AI20" s="278" t="str">
        <f>IF(INT(AH20/2000)&gt;=1,INT(AH20/2000)&amp;" thùng + "&amp;MOD(AH20,2000)/100&amp;" túi ",VALUE(AH20/100)&amp;"túi")</f>
        <v>6túi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298</v>
      </c>
      <c r="AA21" s="278" t="str">
        <f>IF(INT(Z21/400)&gt;=1,INT(Z21/400)&amp;" thùng + "&amp;MOD(Z21,400)/100&amp;" túi ",VALUE(Z21/100)&amp;"túi")</f>
        <v>2.98túi</v>
      </c>
      <c r="AB21" s="398"/>
      <c r="AC21" s="423"/>
      <c r="AD21" s="116" t="s">
        <v>56</v>
      </c>
      <c r="AE21" s="250"/>
      <c r="AF21" s="286"/>
      <c r="AG21" s="305"/>
      <c r="AH21" s="250">
        <v>600</v>
      </c>
      <c r="AI21" s="277" t="str">
        <f>IF(INT(AH21/100)&gt;=1,INT(AH21/100)&amp;" thùng + "&amp;MOD(AH21,100)/100&amp;" túi ",VALUE(AH21/100)&amp;"túi")</f>
        <v xml:space="preserve">6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600</v>
      </c>
      <c r="AI22" s="278" t="str">
        <f>IF(INT(AH22/100)&gt;=1,INT(AH22/100)&amp;" thùng + "&amp;MOD(AH22,100)/100&amp;" túi ",VALUE(AH22/100)&amp;"túi")</f>
        <v xml:space="preserve">6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1400</v>
      </c>
      <c r="U23" s="277" t="str">
        <f>IF(INT(T23/600)&gt;=1,INT(T23/600)&amp;" thùng + "&amp;MOD(T23,600)/100&amp;" túi ",VALUE(T23/100)&amp;"túi")</f>
        <v xml:space="preserve">2 thùng + 2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298</v>
      </c>
      <c r="AA23" s="277" t="str">
        <f>IF(INT(Z23/600)&gt;=1,INT(Z23/600)&amp;" thùng + "&amp;MOD(Z23,600)/100&amp;" túi ",VALUE(Z23/100)&amp;"túi")</f>
        <v>2.98túi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100</v>
      </c>
      <c r="AS23" s="277" t="str">
        <f>IF(INT(AR23/400)&gt;=1,INT(AR23/400)&amp;" thùng + "&amp;MOD(AR23,400)&amp;" cái ",VALUE(AR23)&amp;"cái")</f>
        <v>100cái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1400</v>
      </c>
      <c r="L24" s="277" t="str">
        <f>IF(INT(K24/600)&gt;=1,INT(K24/600)&amp;" thùng + "&amp;MOD(K24,600)/100&amp;" túi ",VALUE(K24/100)&amp;"túi")</f>
        <v xml:space="preserve">2 thùng + 2 túi </v>
      </c>
      <c r="M24" s="291"/>
      <c r="N24" s="71"/>
      <c r="O24" s="246"/>
      <c r="P24" s="123"/>
      <c r="Q24" s="130"/>
      <c r="S24" s="103" t="s">
        <v>60</v>
      </c>
      <c r="T24" s="244">
        <v>1400</v>
      </c>
      <c r="U24" s="277" t="str">
        <f>IF(INT(T24/500)&gt;=1,INT(T24/500)&amp;" thùng + "&amp;MOD(T24,500)/100&amp;" túi ",VALUE(T24/100)&amp;"túi")</f>
        <v xml:space="preserve">2 thùng + 4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298</v>
      </c>
      <c r="AA24" s="277" t="str">
        <f>IF(INT(Z24/500)&gt;=1,INT(Z24/500)&amp;" thùng + "&amp;MOD(Z24,500)/100&amp;" túi ",VALUE(Z24/100)&amp;"túi")</f>
        <v>2.98túi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100</v>
      </c>
      <c r="AS24" s="277" t="str">
        <f>IF(INT(AR24/250)&gt;=1,INT(AR24/250)&amp;" thùng + "&amp;MOD(AR24,250)&amp;" cái ",VALUE(AR24)&amp;"cái")</f>
        <v>100cái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3030</v>
      </c>
      <c r="C26" s="277" t="str">
        <f>IF(INT(B26/4000)&gt;=1,INT(B26/4000)&amp;" thùng + "&amp;MOD(B26,4000)/100&amp;" túi ",VALUE(B26/100)&amp;"túi")</f>
        <v>30.3túi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352</v>
      </c>
      <c r="U26" s="278" t="e">
        <f>IF(INT(T26/4000)&gt;=1,INT(T26/4000)&amp;" thùng + "&amp;MOD(T26,4000)/100&amp;" túi ",VALUE(T26/100)&amp;"túi")</f>
        <v>#VALUE!</v>
      </c>
      <c r="V26" s="291"/>
      <c r="W26" s="244"/>
      <c r="X26" s="278" t="str">
        <f>IF(INT(W26/4000)&gt;=1,INT(W26/4000)&amp;" thùng + "&amp;MOD(W26,4000)/100&amp;" túi ",VALUE(W26/100)&amp;"túi")</f>
        <v>0túi</v>
      </c>
      <c r="Y26" s="292"/>
      <c r="Z26" s="244">
        <v>1730</v>
      </c>
      <c r="AA26" s="277" t="str">
        <f>IF(INT(Z26/3000)&gt;=1,INT(Z26/3000)&amp;" thùng + "&amp;MOD(Z26,3000)/100&amp;" túi ",VALUE(Z26/100)&amp;"túi")</f>
        <v>17.3túi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600</v>
      </c>
      <c r="L27" s="363" t="str">
        <f>IF(INT(K27/50)&gt;=1,INT(K27/50)&amp;" thùng + "&amp;MOD(K27,50)&amp;" cái ",VALUE(K27/50)&amp;"cái")</f>
        <v xml:space="preserve">12 thùng + 0 cái </v>
      </c>
      <c r="M27" s="293"/>
      <c r="N27" s="81" t="s">
        <v>9</v>
      </c>
      <c r="O27" s="242">
        <v>1400</v>
      </c>
      <c r="P27" s="363" t="str">
        <f>IF(INT(O27/50)&gt;=1,INT(O27/50)&amp;" thùng + "&amp;MOD(O27,50)&amp;" cái ",VALUE(O27/50)&amp;"cái")</f>
        <v xml:space="preserve">28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596</v>
      </c>
      <c r="AA27" s="278" t="str">
        <f>IF(INT(Z27/400)&gt;=1,INT(Z27/400)&amp;" thùng + "&amp;MOD(Z27,400)/100&amp;" túi ",VALUE(Z27/100)&amp;"túi")</f>
        <v xml:space="preserve">1 thùng + 1.96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>
        <v>4560</v>
      </c>
      <c r="C28" s="277" t="str">
        <f>IF(INT(B28/3000)&gt;=1,INT(B28/3000)&amp;" thùng + "&amp;MOD(B28,3000)/100&amp;" túi ",VALUE(B28/100)&amp;"túi")</f>
        <v xml:space="preserve">1 thùng + 15.6 túi 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180</v>
      </c>
      <c r="AA28" s="278" t="str">
        <f>IF(INT(Z28/1000)&gt;=1,INT(Z28/1000)&amp;" thùng + "&amp;MOD(Z28,1000)/100&amp;" túi ",VALUE(Z28/100)&amp;"túi")</f>
        <v>1.8túi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900</v>
      </c>
      <c r="AS28" s="385" t="str">
        <f>IF(INT(AR28/1000)&gt;=1,INT(AR28/1000)&amp;" thùng + "&amp;MOD(AR28,1000)/100&amp;" túi ",VALUE(AR28/100)&amp;"túi")</f>
        <v>9túi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300</v>
      </c>
      <c r="L29" s="363" t="str">
        <f>IF(INT(K29/20)&gt;=1,INT(K29/20)&amp;" thùng + "&amp;MOD(K29,20)&amp;" cái ",VALUE(K29/20)&amp;"cái")</f>
        <v xml:space="preserve">15 thùng + 0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298</v>
      </c>
      <c r="AA29" s="278" t="str">
        <f>IF(INT(Z29/200)&gt;=1,INT(Z29/200)&amp;" thùng + "&amp;MOD(Z29,200)/50&amp;" túi ",VALUE(Z29/50)&amp;"túi")</f>
        <v xml:space="preserve">1 thùng + 1.96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1000</v>
      </c>
      <c r="L30" s="363" t="str">
        <f>IF(INT(K30/100)&gt;=1,INT(K30/100)&amp;" thùng + "&amp;MOD(K30,100)&amp;" cái ",VALUE(K30/100)&amp;"cái")</f>
        <v xml:space="preserve">10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400</v>
      </c>
      <c r="AA31" s="363" t="str">
        <f>IF(INT(Z31/20)&gt;=1,INT(Z31/20)&amp;" thùng + "&amp;MOD(Z31,20)&amp;" cái ",VALUE(Z31/20)&amp;"cái")</f>
        <v xml:space="preserve">20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1000</v>
      </c>
      <c r="L32" s="363" t="str">
        <f>IF(INT(K32/100)&gt;=1,INT(K32/100)&amp;" thùng + "&amp;MOD(K32,100)&amp;" cái ",VALUE(K32/100)&amp;"cái")</f>
        <v xml:space="preserve">10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400</v>
      </c>
      <c r="AA32" s="278" t="str">
        <f>IF(INT(Z32/200)&gt;=1,INT(Z32/200)&amp;" thùng + "&amp;MOD(Z32,200)/20&amp;" túi ",VALUE(Z32)&amp;"cái")</f>
        <v xml:space="preserve">2 thùng + 0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387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600</v>
      </c>
      <c r="L34" s="277" t="str">
        <f>IF(INT(K34/1000)&gt;=1,INT(K34/1000)&amp;" thùng + "&amp;MOD(K34,1000)/100&amp;" túi ",VALUE(K34/100)&amp;"túi")</f>
        <v>6túi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400</v>
      </c>
      <c r="X34" s="278" t="str">
        <f>IF(INT(W34/1000)&gt;=1,INT(W34/1000)&amp;" thùng + "&amp;MOD(W34,1000)/100&amp;" túi ",VALUE(W34/100)&amp;"túi")</f>
        <v>4túi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596</v>
      </c>
      <c r="AA35" s="278" t="str">
        <f>IF(INT(Z35/4000)&gt;=1,INT(Z35/4000)&amp;" thùng + "&amp;MOD(Z35,4000)/100&amp;" túi ",VALUE(Z35/100)&amp;"túi")</f>
        <v>5.96túi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596</v>
      </c>
      <c r="AA36" s="277" t="str">
        <f>IF(INT(Z36/50)&gt;=1,INT(Z36/50)&amp;" thùng + "&amp;MOD(Z36,50)&amp;" cái ",VALUE(Z36)&amp;"cái")</f>
        <v xml:space="preserve">11 thùng + 46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298</v>
      </c>
      <c r="AA37" s="277" t="str">
        <f>IF(INT(Z37/1000)&gt;=1,INT(Z37/1000)&amp;" thùng + "&amp;MOD(Z37,1000)/100&amp;" túi ",VALUE(Z37/100)&amp;"túi")</f>
        <v>2.98túi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1192</v>
      </c>
      <c r="AA38" s="278" t="str">
        <f>IF(INT(Z38/3000)&gt;=1,INT(Z38/3000)&amp;" thùng + "&amp;MOD(Z38,3000)/100&amp;" túi ",VALUE(Z38/100)&amp;"túi")</f>
        <v>11.92túi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298</v>
      </c>
      <c r="AA39" s="278" t="str">
        <f t="shared" ref="AA39" si="9">IF(INT(Z39/2000)&gt;=1,INT(Z39/2000)&amp;" thùng + "&amp;MOD(Z39,2000)/100&amp;" túi ",VALUE(Z39/100)&amp;"túi")</f>
        <v>2.98túi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>
        <v>280</v>
      </c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>
        <v>280</v>
      </c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400</v>
      </c>
      <c r="AA41" s="277" t="str">
        <f>IF(INT(Z41/100)&gt;=1,INT(Z41/100)&amp;" thùng + "&amp;MOD(Z41,100)/50&amp;" túi ",VALUE(Z41)&amp;"cái")</f>
        <v xml:space="preserve">4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800</v>
      </c>
      <c r="AA42" s="278" t="str">
        <f>IF(INT(Z42/3000)&gt;=1,INT(Z42/3000)&amp;" thùng + "&amp;MOD(Z42,3000)/100&amp;" túi ",VALUE(Z42/100)&amp;"túi")</f>
        <v>8túi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400</v>
      </c>
      <c r="AA43" s="277" t="str">
        <f>IF(INT(Z43/1000)&gt;=1,INT(Z43/1000)&amp;" thùng + "&amp;MOD(Z43,1000)/100&amp;" túi ",VALUE(Z43/100)&amp;"túi")</f>
        <v>4túi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400</v>
      </c>
      <c r="AA44" s="278" t="str">
        <f>IF(INT(Z44/4000)&gt;=1,INT(Z44/4000)&amp;" thùng + "&amp;MOD(Z44,4000)/100&amp;" túi ",VALUE(Z44/100)&amp;"túi")</f>
        <v>4túi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300</v>
      </c>
      <c r="AS47" s="278" t="str">
        <f>IF(INT(AR47/50)&gt;=1,INT(AR47/50)&amp;" thùng + "&amp;MOD(AR47,50)/10&amp;" túi ",VALUE(AR47/10)&amp;"túi")</f>
        <v xml:space="preserve">6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1400</v>
      </c>
      <c r="X48" s="278" t="str">
        <f>IF(INT(W48/100)&gt;=1,INT(W48/100)&amp;" thùng + "&amp;MOD(W48,100)/100&amp;" túi ",VALUE(W48)&amp;"cái")</f>
        <v xml:space="preserve">14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500</v>
      </c>
      <c r="X49" s="277" t="str">
        <f>IF(INT(W49/600)&gt;=1,INT(W49/600)&amp;" thùng + "&amp;MOD(W49,600)/20&amp;" túi ",VALUE(W49)&amp;"cái")</f>
        <v>500cái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>
        <v>5</v>
      </c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>
        <v>5</v>
      </c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>
        <v>115</v>
      </c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>
        <v>115</v>
      </c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>
        <v>115</v>
      </c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800</v>
      </c>
      <c r="AP54" s="389" t="str">
        <f>IF(INT(AO54/3000)&gt;=1,INT(AO54/3000)&amp;" thùng + "&amp;MOD(AO54,3000)/100&amp;" túi ",VALUE(AO54/100)&amp;"túi")</f>
        <v>8túi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44" sqref="B44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791"/>
      <c r="G1" s="790"/>
      <c r="H1" s="978" t="s">
        <v>268</v>
      </c>
      <c r="I1" s="979"/>
      <c r="J1" s="979"/>
      <c r="K1" s="979"/>
      <c r="L1" s="980"/>
    </row>
    <row r="2" spans="1:12" ht="26.25" customHeight="1">
      <c r="A2" s="4" t="s">
        <v>399</v>
      </c>
      <c r="B2" s="141"/>
      <c r="C2" s="5"/>
      <c r="D2" s="1033" t="s">
        <v>260</v>
      </c>
      <c r="E2" s="1033"/>
      <c r="F2" s="1034"/>
      <c r="G2" s="798"/>
      <c r="H2" s="440" t="str">
        <f>A2</f>
        <v>Ngày 26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799">
        <v>4</v>
      </c>
      <c r="J3" s="799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799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792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1800</v>
      </c>
      <c r="C9" s="276" t="str">
        <f>IF(INT(B9/4000)&gt;=1,INT(B9/4000)&amp;" thùng + "&amp;MOD(B9,4000)/100&amp;" túi ",VALUE(B9/100)&amp;"túi")</f>
        <v>18túi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1800</v>
      </c>
      <c r="C15" s="278" t="str">
        <f>IF(INT(B15/600)&gt;=1,INT(B15/600)&amp;" thùng + "&amp;MOD(B15,600)&amp;" cái",VALUE(B15/100)&amp;"túi")</f>
        <v>3 thùng + 0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1800</v>
      </c>
      <c r="C16" s="278" t="str">
        <f>IF(INT(B16/500)&gt;=1,INT(B16/500)&amp;" thùng + "&amp;MOD(B16,500)&amp;" cái",VALUE(B16/100)&amp;"túi")</f>
        <v>3 thùng + 300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15000</v>
      </c>
      <c r="C17" s="278" t="str">
        <f>IF(INT(B17/4000)&gt;=1,INT(B17/4000)&amp;" thùng + "&amp;MOD(B17,4000)&amp;" cái ",VALUE(B17/100)&amp;"túi")</f>
        <v xml:space="preserve">3 thùng + 3000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400</v>
      </c>
      <c r="C19" s="278" t="str">
        <f>IF(INT(B19/6000)&gt;=1,INT(B19/6000)&amp;" thùng + "&amp;MOD(B19,6000)/100&amp;" túi ",VALUE(B19/100)&amp;"túi")</f>
        <v>4túi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400</v>
      </c>
      <c r="C20" s="278" t="str">
        <f>IF(INT(B20/1200)&gt;=1,INT(B20/1200)&amp;" thùng + "&amp;MOD(B20,1200)/100&amp;" túi ",VALUE(B20/100)&amp;"túi")</f>
        <v>4túi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400</v>
      </c>
      <c r="C21" s="277" t="str">
        <f>IF(INT(B21/25)&gt;=1,INT(B21/25)&amp;" thùng + "&amp;MOD(B21,25)&amp;" cái ",VALUE(B21/25)&amp;"cái")</f>
        <v xml:space="preserve">16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800</v>
      </c>
      <c r="C22" s="278" t="str">
        <f>IF(INT(B22/100)&gt;=1,INT(B22/100)&amp;" thùng + "&amp;MOD(B22,100)/100&amp;" túi ",VALUE(B22/100)&amp;"túi")</f>
        <v xml:space="preserve">8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800</v>
      </c>
      <c r="C23" s="278" t="str">
        <f t="shared" ref="C23" si="0">IF(INT(B23/2000)&gt;=1,INT(B23/2000)&amp;" thùng + "&amp;MOD(B23,2000)/100&amp;" túi ",VALUE(B23/100)&amp;"túi")</f>
        <v>8túi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800</v>
      </c>
      <c r="C24" s="278" t="str">
        <f>IF(INT(B24/100)&gt;=1,INT(B24/100)&amp;" thùng + "&amp;MOD(B24,100)/100&amp;" túi ",VALUE(B24/100)&amp;"túi")</f>
        <v xml:space="preserve">8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400</v>
      </c>
      <c r="C25" s="278" t="str">
        <f>IF(INT(B25/500)&gt;=1,INT(B25/500)&amp;" thùng + "&amp;MOD(B25,500)/100&amp;" túi ",VALUE(B25/100)&amp;"túi")</f>
        <v>4túi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400</v>
      </c>
      <c r="C26" s="278" t="str">
        <f>IF(INT(B26/500)&gt;=1,INT(B26/500)&amp;" thùng + "&amp;MOD(B26,500)/100&amp;" túi ",VALUE(B26/100)&amp;"túi")</f>
        <v>4túi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400</v>
      </c>
      <c r="C27" s="278" t="str">
        <f>IF(INT(B27/200)&gt;=1,INT(B27/200)&amp;" thùng + "&amp;MOD(B27,200)/100&amp;" túi ",VALUE(B27/100)&amp;"cái")</f>
        <v xml:space="preserve">2 thùng + 0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800</v>
      </c>
      <c r="C36" s="278" t="str">
        <f t="shared" ref="C36" si="1">IF(INT(B36/2000)&gt;=1,INT(B36/2000)&amp;" thùng + "&amp;MOD(B36,2000)/100&amp;" túi ",VALUE(B36/100)&amp;"túi")</f>
        <v>8túi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>
        <v>3200</v>
      </c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>
  <sheetPr>
    <tabColor rgb="FFFF0000"/>
  </sheetPr>
  <dimension ref="A1:EC132"/>
  <sheetViews>
    <sheetView tabSelected="1" zoomScale="113" zoomScaleNormal="113" workbookViewId="0">
      <pane ySplit="7" topLeftCell="A8" activePane="bottomLeft" state="frozen"/>
      <selection activeCell="Z27" sqref="Z27"/>
      <selection pane="bottomLeft" activeCell="B13" sqref="B13"/>
    </sheetView>
  </sheetViews>
  <sheetFormatPr defaultRowHeight="12.75"/>
  <cols>
    <col min="1" max="1" width="20.85546875" style="61" customWidth="1"/>
    <col min="2" max="2" width="11.85546875" style="61" customWidth="1"/>
    <col min="3" max="3" width="36.85546875" style="61" customWidth="1"/>
    <col min="4" max="4" width="38.570312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425</v>
      </c>
      <c r="B1" s="955"/>
      <c r="C1" s="955"/>
      <c r="D1" s="955"/>
      <c r="E1" s="955"/>
      <c r="F1" s="955"/>
      <c r="G1" s="955"/>
      <c r="H1" s="802"/>
      <c r="J1" s="1002" t="str">
        <f>A1</f>
        <v>BẢNG KÊ XUẤT HÀNG THÁNG 7 NĂM 2018</v>
      </c>
      <c r="K1" s="1003"/>
      <c r="L1" s="1003"/>
      <c r="M1" s="1003"/>
      <c r="N1" s="1003"/>
      <c r="O1" s="1003"/>
      <c r="P1" s="1004"/>
      <c r="Q1" s="804"/>
      <c r="S1" s="1002" t="str">
        <f>A1</f>
        <v>BẢNG KÊ XUẤT HÀNG THÁNG 7 NĂM 2018</v>
      </c>
      <c r="T1" s="1003"/>
      <c r="U1" s="1003"/>
      <c r="V1" s="1003"/>
      <c r="W1" s="1003"/>
      <c r="X1" s="1003"/>
      <c r="Y1" s="1003"/>
      <c r="Z1" s="1003"/>
      <c r="AA1" s="1004"/>
      <c r="AB1" s="803"/>
      <c r="AC1" s="415"/>
      <c r="AD1" s="958" t="str">
        <f>A1</f>
        <v>BẢNG KÊ XUẤT HÀNG THÁNG 7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7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872" t="s">
        <v>424</v>
      </c>
      <c r="B2" s="873"/>
      <c r="C2" s="58"/>
      <c r="D2" s="993" t="s">
        <v>231</v>
      </c>
      <c r="E2" s="994"/>
      <c r="F2" s="994"/>
      <c r="G2" s="994"/>
      <c r="H2" s="995"/>
      <c r="J2" s="56" t="str">
        <f>A2</f>
        <v>Ngày 27 tháng 7 năm 2018 ( TT quan trọng để lưu trữ thông tin giao hàng)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27 tháng 7 năm 2018 ( TT quan trọng để lưu trữ thông tin giao hàng)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27 tháng 7 năm 2018 ( TT quan trọng để lưu trữ thông tin giao hàng)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27 tháng 7 năm 2018 ( TT quan trọng để lưu trữ thông tin giao hàng)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805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807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805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805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806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806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423</v>
      </c>
      <c r="C6" s="966"/>
      <c r="D6" s="953"/>
      <c r="E6" s="1015" t="s">
        <v>0</v>
      </c>
      <c r="F6" s="951" t="s">
        <v>419</v>
      </c>
      <c r="G6" s="952"/>
      <c r="H6" s="1022"/>
      <c r="J6" s="809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808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/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901" t="s">
        <v>63</v>
      </c>
      <c r="C7" s="902" t="s">
        <v>420</v>
      </c>
      <c r="D7" s="902" t="s">
        <v>421</v>
      </c>
      <c r="E7" s="932"/>
      <c r="F7" s="74" t="s">
        <v>71</v>
      </c>
      <c r="G7" s="74" t="s">
        <v>217</v>
      </c>
      <c r="H7" s="359" t="s">
        <v>230</v>
      </c>
      <c r="J7" s="810"/>
      <c r="K7" s="74" t="s">
        <v>63</v>
      </c>
      <c r="L7" s="74" t="s">
        <v>217</v>
      </c>
      <c r="M7" s="370" t="s">
        <v>230</v>
      </c>
      <c r="N7" s="932"/>
      <c r="O7" s="801" t="s">
        <v>63</v>
      </c>
      <c r="P7" s="801" t="s">
        <v>217</v>
      </c>
      <c r="Q7" s="371" t="s">
        <v>230</v>
      </c>
      <c r="S7" s="939"/>
      <c r="T7" s="74" t="s">
        <v>259</v>
      </c>
      <c r="U7" s="74" t="s">
        <v>217</v>
      </c>
      <c r="V7" s="801" t="s">
        <v>230</v>
      </c>
      <c r="W7" s="74" t="s">
        <v>63</v>
      </c>
      <c r="X7" s="74" t="s">
        <v>217</v>
      </c>
      <c r="Y7" s="801" t="s">
        <v>230</v>
      </c>
      <c r="Z7" s="315" t="s">
        <v>63</v>
      </c>
      <c r="AA7" s="801" t="s">
        <v>217</v>
      </c>
      <c r="AB7" s="394" t="s">
        <v>230</v>
      </c>
      <c r="AC7" s="420"/>
      <c r="AD7" s="1032"/>
      <c r="AE7" s="383" t="s">
        <v>63</v>
      </c>
      <c r="AF7" s="801" t="s">
        <v>217</v>
      </c>
      <c r="AG7" s="801" t="s">
        <v>230</v>
      </c>
      <c r="AH7" s="372" t="s">
        <v>63</v>
      </c>
      <c r="AI7" s="801" t="s">
        <v>217</v>
      </c>
      <c r="AJ7" s="801" t="s">
        <v>230</v>
      </c>
      <c r="AK7" s="800" t="s">
        <v>63</v>
      </c>
      <c r="AL7" s="340" t="s">
        <v>217</v>
      </c>
      <c r="AM7" s="420"/>
      <c r="AN7" s="1021"/>
      <c r="AO7" s="372" t="s">
        <v>63</v>
      </c>
      <c r="AP7" s="801" t="s">
        <v>217</v>
      </c>
      <c r="AQ7" s="801" t="s">
        <v>230</v>
      </c>
      <c r="AR7" s="801" t="s">
        <v>63</v>
      </c>
      <c r="AS7" s="801" t="s">
        <v>217</v>
      </c>
      <c r="AT7" s="801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874" t="s">
        <v>37</v>
      </c>
      <c r="B8" s="875"/>
      <c r="C8" s="876" t="str">
        <f>IF(INT(B8/4000)&gt;=1,INT(B8/4000)&amp;" thùng + "&amp;MOD(B8,4000)/100&amp;" túi ",VALUE(B8/100)&amp;"túi")</f>
        <v>0túi</v>
      </c>
      <c r="D8" s="877"/>
      <c r="E8" s="878"/>
      <c r="F8" s="879"/>
      <c r="G8" s="880"/>
      <c r="H8" s="881">
        <v>0</v>
      </c>
      <c r="I8" s="882"/>
      <c r="J8" s="883" t="s">
        <v>37</v>
      </c>
      <c r="K8" s="884">
        <v>300</v>
      </c>
      <c r="L8" s="876" t="str">
        <f>IF(INT(K8/4000)&gt;=1,INT(K8/4000)&amp;" thùng + "&amp;MOD(K8,4000)/100&amp;" túi ",VALUE(K8/100)&amp;"túi")</f>
        <v>3túi</v>
      </c>
      <c r="M8" s="885"/>
      <c r="N8" s="886"/>
      <c r="O8" s="887"/>
      <c r="P8" s="886"/>
      <c r="Q8" s="888"/>
      <c r="R8" s="882"/>
      <c r="S8" s="883" t="s">
        <v>114</v>
      </c>
      <c r="T8" s="889">
        <v>3840</v>
      </c>
      <c r="U8" s="890" t="str">
        <f>IF(INT(T8/400)&gt;=1,INT(T8/400)&amp;" thùng + "&amp;MOD(T8,400)/50&amp;" túi ",VALUE(T8/50)&amp;"cái")</f>
        <v xml:space="preserve">9 thùng + 4.8 túi </v>
      </c>
      <c r="V8" s="891"/>
      <c r="W8" s="892"/>
      <c r="X8" s="893"/>
      <c r="Y8" s="885"/>
      <c r="Z8" s="875"/>
      <c r="AA8" s="893"/>
      <c r="AB8" s="894"/>
      <c r="AC8" s="895"/>
      <c r="AD8" s="896" t="s">
        <v>37</v>
      </c>
      <c r="AE8" s="875"/>
      <c r="AF8" s="897"/>
      <c r="AG8" s="897"/>
      <c r="AH8" s="875">
        <v>380</v>
      </c>
      <c r="AI8" s="876" t="str">
        <f>IF(INT(AH8/4000)&gt;=1,INT(AH8/4000)&amp;" thùng + "&amp;MOD(AH8,4000)/100&amp;" túi ",VALUE(AH8/100)&amp;"túi")</f>
        <v>3.8túi</v>
      </c>
      <c r="AJ8" s="897"/>
      <c r="AK8" s="879"/>
      <c r="AL8" s="898"/>
      <c r="AM8" s="899"/>
      <c r="AN8" s="883" t="s">
        <v>37</v>
      </c>
      <c r="AO8" s="875"/>
      <c r="AP8" s="876"/>
      <c r="AQ8" s="885"/>
      <c r="AR8" s="884"/>
      <c r="AS8" s="893"/>
      <c r="AT8" s="887"/>
      <c r="AU8" s="884"/>
      <c r="AV8" s="885"/>
      <c r="AW8" s="900"/>
    </row>
    <row r="9" spans="1:133" s="88" customFormat="1" ht="14.25" customHeight="1">
      <c r="A9" s="903" t="s">
        <v>44</v>
      </c>
      <c r="B9" s="904"/>
      <c r="C9" s="905" t="str">
        <f>IF(INT(B9/500)&gt;=1,INT(B9/500)&amp;" thùng + "&amp;MOD(B9,500)/100&amp;" túi ",VALUE(B9/100)&amp;"túi")</f>
        <v>0túi</v>
      </c>
      <c r="D9" s="906"/>
      <c r="E9" s="907"/>
      <c r="F9" s="904"/>
      <c r="G9" s="908"/>
      <c r="H9" s="909"/>
      <c r="I9" s="910"/>
      <c r="J9" s="911" t="s">
        <v>44</v>
      </c>
      <c r="K9" s="904">
        <v>300</v>
      </c>
      <c r="L9" s="905" t="str">
        <f>IF(INT(K9/500)&gt;=1,INT(K9/500)&amp;" thùng + "&amp;MOD(K9,500)/100&amp;" túi ",VALUE(K9/100)&amp;"túi")</f>
        <v>3túi</v>
      </c>
      <c r="M9" s="906"/>
      <c r="N9" s="907"/>
      <c r="O9" s="907"/>
      <c r="P9" s="907"/>
      <c r="Q9" s="912"/>
      <c r="R9" s="910"/>
      <c r="S9" s="903" t="s">
        <v>38</v>
      </c>
      <c r="T9" s="913"/>
      <c r="U9" s="905"/>
      <c r="V9" s="906"/>
      <c r="W9" s="904">
        <v>1100</v>
      </c>
      <c r="X9" s="905" t="str">
        <f>IF(INT(W9/4000)&gt;=1,INT(W9/4000)&amp;" thùng + "&amp;MOD(W9,4000)/100&amp;" túi ",VALUE(W9/100)&amp;"túi")</f>
        <v>11túi</v>
      </c>
      <c r="Y9" s="914"/>
      <c r="Z9" s="915">
        <v>232</v>
      </c>
      <c r="AA9" s="905" t="str">
        <f>IF(INT(Z9/4000)&gt;=1,INT(Z9/4000)&amp;" thùng + "&amp;MOD(Z9,4000)/100&amp;" túi ",VALUE(Z9/100)&amp;"túi")</f>
        <v>2.32túi</v>
      </c>
      <c r="AB9" s="916"/>
      <c r="AC9" s="917"/>
      <c r="AD9" s="918" t="s">
        <v>44</v>
      </c>
      <c r="AE9" s="904"/>
      <c r="AF9" s="919"/>
      <c r="AG9" s="920"/>
      <c r="AH9" s="904">
        <v>380</v>
      </c>
      <c r="AI9" s="905" t="str">
        <f>IF(INT(AH9/500)&gt;=1,INT(AH9/500)&amp;" thùng + "&amp;MOD(AH9,500)/100&amp;" túi ",VALUE(AH9/100)&amp;"túi")</f>
        <v>3.8túi</v>
      </c>
      <c r="AJ9" s="906"/>
      <c r="AK9" s="921"/>
      <c r="AL9" s="912"/>
      <c r="AM9" s="922"/>
      <c r="AN9" s="911" t="s">
        <v>44</v>
      </c>
      <c r="AO9" s="904"/>
      <c r="AP9" s="919"/>
      <c r="AQ9" s="920"/>
      <c r="AR9" s="904"/>
      <c r="AS9" s="919"/>
      <c r="AT9" s="920"/>
      <c r="AU9" s="904"/>
      <c r="AV9" s="920"/>
      <c r="AW9" s="923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 t="s">
        <v>401</v>
      </c>
      <c r="C10" s="277" t="e">
        <f>IF(INT(B10/500)&gt;=1,INT(B10/500)&amp;" thùng + "&amp;MOD(B10,500)/100&amp;" túi ",VALUE(B10/100)&amp;"túi")</f>
        <v>#VALUE!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500</v>
      </c>
      <c r="L10" s="278" t="str">
        <f>IF(INT(K10/500)&gt;=1,INT(K10/500)&amp;" thùng + "&amp;MOD(K10,500)/100&amp;" túi ",VALUE(K10/100)&amp;"túi")</f>
        <v xml:space="preserve">1 thùng + 0 túi </v>
      </c>
      <c r="M10" s="292"/>
      <c r="N10" s="71"/>
      <c r="O10" s="71"/>
      <c r="P10" s="71"/>
      <c r="Q10" s="102"/>
      <c r="S10" s="924" t="s">
        <v>273</v>
      </c>
      <c r="T10" s="326">
        <v>5556</v>
      </c>
      <c r="U10" s="277" t="str">
        <f>IF(INT(T10/3000)&gt;=1,INT(T10/3000)&amp;" thùng + "&amp;MOD(T10,3000)/100&amp;" túi ",VALUE(T10/100)&amp;"túi")</f>
        <v xml:space="preserve">1 thùng + 25.56 túi 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1760</v>
      </c>
      <c r="L11" s="277" t="str">
        <f t="shared" ref="L11:L12" si="0">IF(INT(K11/2000)&gt;=1,INT(K11/2000)&amp;" thùng + "&amp;MOD(K11,2000)/100&amp;" túi ",VALUE(K11/100)&amp;"túi")</f>
        <v>17.6túi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940</v>
      </c>
      <c r="AA11" s="277" t="str">
        <f>IF(INT(Z11/3000)&gt;=1,INT(Z11/3000)&amp;" thùng + "&amp;MOD(Z11,3000)/100&amp;" túi ",VALUE(Z11/100)&amp;"túi")</f>
        <v>9.4túi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800</v>
      </c>
      <c r="AI11" s="277" t="str">
        <f>IF(INT(AH11/2000)&gt;=1,INT(AH11/2000)&amp;" thùng + "&amp;MOD(AH11,2000)/100&amp;" túi ",VALUE(AH11/100)&amp;"túi")</f>
        <v>8túi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3000</v>
      </c>
      <c r="L12" s="278" t="str">
        <f t="shared" si="0"/>
        <v xml:space="preserve">1 thùng + 10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2200</v>
      </c>
      <c r="X12" s="278" t="str">
        <f t="shared" ref="X12" si="1">IF(INT(W12/2000)&gt;=1,INT(W12/2000)&amp;" thùng + "&amp;MOD(W12,2000)/100&amp;" túi ",VALUE(W12/100)&amp;"túi")</f>
        <v xml:space="preserve">1 thùng + 2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852" t="s">
        <v>51</v>
      </c>
      <c r="B13" s="853" t="s">
        <v>402</v>
      </c>
      <c r="C13" s="854" t="e">
        <f>IF(INT(B13/600)&gt;=1,INT(B13/600)&amp;" thùng + "&amp;MOD(B13,600)/100&amp;" túi ",VALUE(B13/100)&amp;"túi")</f>
        <v>#VALUE!</v>
      </c>
      <c r="D13" s="855"/>
      <c r="E13" s="856" t="s">
        <v>51</v>
      </c>
      <c r="F13" s="853">
        <v>1400</v>
      </c>
      <c r="G13" s="854" t="str">
        <f>IF(INT(F13/600)&gt;=1,INT(F13/600)&amp;" thùng + "&amp;MOD(F13,600)/100&amp;" túi ",VALUE(F13/100)&amp;"túi")</f>
        <v xml:space="preserve">2 thùng + 2 túi </v>
      </c>
      <c r="H13" s="857"/>
      <c r="I13" s="860"/>
      <c r="J13" s="852" t="s">
        <v>51</v>
      </c>
      <c r="K13" s="853">
        <v>800</v>
      </c>
      <c r="L13" s="859" t="str">
        <f>IF(INT(K13/600)&gt;=1,INT(K13/600)&amp;" thùng + "&amp;MOD(K13,600)/100&amp;" túi ",VALUE(K13/100)&amp;"túi")</f>
        <v xml:space="preserve">1 thùng + 2 túi </v>
      </c>
      <c r="M13" s="861"/>
      <c r="N13" s="856"/>
      <c r="O13" s="862"/>
      <c r="P13" s="862"/>
      <c r="Q13" s="863"/>
      <c r="R13" s="860"/>
      <c r="S13" s="852" t="s">
        <v>51</v>
      </c>
      <c r="T13" s="853"/>
      <c r="U13" s="854"/>
      <c r="V13" s="855"/>
      <c r="W13" s="853">
        <v>1500</v>
      </c>
      <c r="X13" s="854" t="str">
        <f>IF(INT(W13/600)&gt;=1,INT(W13/600)&amp;" thùng + "&amp;MOD(W13,600)/100&amp;" túi ",VALUE(W13/100)&amp;"túi")</f>
        <v xml:space="preserve">2 thùng + 3 túi </v>
      </c>
      <c r="Y13" s="855"/>
      <c r="Z13" s="864">
        <v>702</v>
      </c>
      <c r="AA13" s="854" t="str">
        <f>IF(INT(Z13/600)&gt;=1,INT(Z13/600)&amp;" thùng + "&amp;MOD(Z13,600)&amp;" cái ",VALUE(Z13)&amp;"cái")</f>
        <v xml:space="preserve">1 thùng + 102 cái </v>
      </c>
      <c r="AB13" s="865"/>
      <c r="AC13" s="866"/>
      <c r="AD13" s="867" t="s">
        <v>51</v>
      </c>
      <c r="AE13" s="868"/>
      <c r="AF13" s="854" t="str">
        <f>IF(INT(AE13/600)&gt;=1,INT(AE13/600)&amp;" thùng + "&amp;MOD(AE13,600)&amp;" cái ",VALUE(AE13/100)&amp;"túi")</f>
        <v>0túi</v>
      </c>
      <c r="AG13" s="855"/>
      <c r="AH13" s="853">
        <v>400</v>
      </c>
      <c r="AI13" s="854" t="str">
        <f>IF(INT(AH13/600)&gt;=1,INT(AH13/600)&amp;" thùng + "&amp;MOD(AH13,600)/100&amp;" túi ",VALUE(AH13/100)&amp;"túi")</f>
        <v>4túi</v>
      </c>
      <c r="AJ13" s="855"/>
      <c r="AK13" s="869"/>
      <c r="AL13" s="863"/>
      <c r="AM13" s="870"/>
      <c r="AN13" s="852" t="s">
        <v>51</v>
      </c>
      <c r="AO13" s="853"/>
      <c r="AP13" s="854"/>
      <c r="AQ13" s="855"/>
      <c r="AR13" s="853"/>
      <c r="AS13" s="854"/>
      <c r="AT13" s="855"/>
      <c r="AU13" s="853"/>
      <c r="AV13" s="854"/>
      <c r="AW13" s="871"/>
      <c r="AX13" s="858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 t="s">
        <v>403</v>
      </c>
      <c r="C14" s="277" t="e">
        <f>IF(INT(B14/400)&gt;=1,INT(B14/400)&amp;" thùng + "&amp;MOD(B14,400)/100&amp;" túi ",VALUE(B14/100)&amp;"túi")</f>
        <v>#VALUE!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800</v>
      </c>
      <c r="L14" s="278" t="str">
        <f>IF(INT(K14/400)&gt;=1,INT(K14/400)&amp;" thùng + "&amp;MOD(K14,400)/100&amp;" túi ",VALUE(K14/100)&amp;"túi")</f>
        <v xml:space="preserve">2 thùng + 0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1500</v>
      </c>
      <c r="X14" s="278" t="str">
        <f>IF(INT(W14/400)&gt;=1,INT(W14/400)&amp;" thùng + "&amp;MOD(W14,400)/100&amp;" túi ",VALUE(W14/100)&amp;"túi")</f>
        <v xml:space="preserve">3 thùng + 3 túi </v>
      </c>
      <c r="Y14" s="292"/>
      <c r="Z14" s="244">
        <v>702</v>
      </c>
      <c r="AA14" s="278" t="str">
        <f>IF(INT(Z14/400)&gt;=1,INT(Z14/400)&amp;" thùng + "&amp;MOD(Z14,400)&amp;" cái ",VALUE(Z14/100)&amp;"túi")</f>
        <v xml:space="preserve">1 thùng + 302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>
        <v>400</v>
      </c>
      <c r="AI14" s="278" t="str">
        <f>IF(INT(AH14/400)&gt;=1,INT(AH14/400)&amp;" thùng + "&amp;MOD(AH14,400)/100&amp;" túi ",VALUE(AH14/100)&amp;"túi")</f>
        <v xml:space="preserve">1 thùng + 0 túi 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800</v>
      </c>
      <c r="L15" s="278" t="str">
        <f>IF(INT(K15/600)&gt;=1,INT(K15/600)&amp;" thùng + "&amp;MOD(K15,600)/100&amp;" túi ",VALUE(K15/100)&amp;"túi")</f>
        <v xml:space="preserve">1 thùng + 2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1500</v>
      </c>
      <c r="X15" s="277" t="str">
        <f>IF(INT(W15/600)&gt;=1,INT(W15/600)&amp;" thùng + "&amp;MOD(W15,600)/100&amp;" túi ",VALUE(W15/100)&amp;"túi")</f>
        <v xml:space="preserve">2 thùng + 3 túi </v>
      </c>
      <c r="Y15" s="291"/>
      <c r="Z15" s="244">
        <v>702</v>
      </c>
      <c r="AA15" s="277" t="str">
        <f>IF(INT(Z15/600)&gt;=1,INT(Z15/600)&amp;" thùng + "&amp;MOD(Z15,600)&amp;" cái ",VALUE(Z15)&amp;"cái")</f>
        <v xml:space="preserve">1 thùng + 102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400</v>
      </c>
      <c r="AI15" s="277" t="str">
        <f>IF(INT(AH15/600)&gt;=1,INT(AH15/600)&amp;" thùng + "&amp;MOD(AH15,600)/100&amp;" túi ",VALUE(AH15/100)&amp;"túi")</f>
        <v>4túi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800</v>
      </c>
      <c r="L16" s="278" t="str">
        <f>IF(INT(K16/400)&gt;=1,INT(K16/400)&amp;" thùng + "&amp;MOD(K16,400)/100&amp;" túi ",VALUE(K16/100)&amp;"túi")</f>
        <v xml:space="preserve">2 thùng + 0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1500</v>
      </c>
      <c r="X16" s="278" t="str">
        <f>IF(INT(W16/400)&gt;=1,INT(W16/400)&amp;" thùng + "&amp;MOD(W16,400)/100&amp;" túi ",VALUE(W16/100)&amp;"túi")</f>
        <v xml:space="preserve">3 thùng + 3 túi </v>
      </c>
      <c r="Y16" s="292"/>
      <c r="Z16" s="244">
        <v>702</v>
      </c>
      <c r="AA16" s="278" t="str">
        <f>IF(INT(Z16/400)&gt;=1,INT(Z16/400)&amp;" thùng + "&amp;MOD(Z16,400)&amp;" cái ",VALUE(Z16/100)&amp;"túi")</f>
        <v xml:space="preserve">1 thùng + 302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>
        <v>400</v>
      </c>
      <c r="AI16" s="278" t="str">
        <f>IF(INT(AH16/400)&gt;=1,INT(AH16/400)&amp;" thùng + "&amp;MOD(AH16,400)/100&amp;" túi ",VALUE(AH16/100)&amp;"túi")</f>
        <v xml:space="preserve">1 thùng + 0 túi 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 t="s">
        <v>205</v>
      </c>
      <c r="C17" s="277" t="e">
        <f>IF(INT(B17/200)&gt;=1,INT(B17/200)&amp;" thùng + "&amp;MOD(B17,200)/50&amp;" túi ",VALUE(B17/50)&amp;"túi")</f>
        <v>#VALUE!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800</v>
      </c>
      <c r="L17" s="277" t="str">
        <f>IF(INT(K17/200)&gt;=1,INT(K17/200)&amp;" thùng + "&amp;MOD(K17,200)/50&amp;" túi ",VALUE(K17/50)&amp;"túi")</f>
        <v xml:space="preserve">4 thùng + 0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700</v>
      </c>
      <c r="X17" s="277" t="str">
        <f>IF(INT(W17/200)&gt;=1,INT(W17/200)&amp;" thùng + "&amp;MOD(W17,200)/50&amp;" túi ",VALUE(W17/50)&amp;"túi")</f>
        <v xml:space="preserve">3 thùng + 2 túi </v>
      </c>
      <c r="Y17" s="291"/>
      <c r="Z17" s="244">
        <v>702</v>
      </c>
      <c r="AA17" s="277" t="str">
        <f>IF(INT(Z17/200)&gt;=1,INT(Z17/200)&amp;" thùng + "&amp;MOD(Z17,200)&amp;" cái ",VALUE(Z17/50)&amp;"túi")</f>
        <v xml:space="preserve">3 thùng + 102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400</v>
      </c>
      <c r="AI17" s="277" t="str">
        <f>IF(INT(AH17/200)&gt;=1,INT(AH17/200)&amp;" thùng + "&amp;MOD(AH17,200)/50&amp;" túi ",VALUE(AH17/50)&amp;"túi")</f>
        <v xml:space="preserve">2 thùng + 0 túi </v>
      </c>
      <c r="AJ17" s="291"/>
      <c r="AK17" s="227"/>
      <c r="AL17" s="91"/>
      <c r="AM17" s="430"/>
      <c r="AN17" s="117" t="s">
        <v>74</v>
      </c>
      <c r="AO17" s="242">
        <v>300</v>
      </c>
      <c r="AP17" s="277" t="str">
        <f>IF(INT(AO17/200)&gt;=1,INT(AO17/200)&amp;" thùng + "&amp;MOD(AO17,200)/50&amp;" túi",VALUE(AO17/50)&amp;"túi")</f>
        <v>1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800</v>
      </c>
      <c r="L18" s="278" t="str">
        <f>IF(INT(K18/1200)&gt;=1,INT(K18/1200)&amp;" thùng + "&amp;MOD(K18,1200)/100&amp;" túi ",VALUE(K18/100)&amp;"túi")</f>
        <v>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800</v>
      </c>
      <c r="X18" s="278" t="str">
        <f>IF(INT(W18/200)&gt;=1,INT(W18/200)&amp;" thùng + "&amp;MOD(W18,200)/50&amp;" túi ",VALUE(W18/50)&amp;"túi")</f>
        <v xml:space="preserve">4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380</v>
      </c>
      <c r="AI18" s="277" t="str">
        <f>IF(INT(AH18/600)&gt;=1,INT(AH18/600)&amp;" thùng + "&amp;MOD(AH18,600)&amp;" cái ",VALUE(AH18/100)&amp;"túi")</f>
        <v>3.8túi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 t="s">
        <v>404</v>
      </c>
      <c r="C19" s="277" t="e">
        <f>IF(INT(B19/4000)&gt;=1,INT(B19/4000)&amp;" thùng + "&amp;MOD(B19,4000)/100&amp;" túi ",VALUE(B19/100)&amp;"túi")</f>
        <v>#VALUE!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18600</v>
      </c>
      <c r="L19" s="277" t="str">
        <f>IF(INT(K19/4000)&gt;=1,INT(K19/4000)&amp;" thùng + "&amp;MOD(K19,4000)/100&amp;" túi ",VALUE(K19/100)&amp;"túi")</f>
        <v xml:space="preserve">4 thùng + 26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8600</v>
      </c>
      <c r="X19" s="277" t="str">
        <f>IF(INT(W19/4000)&gt;=1,INT(W19/4000)&amp;" thùng + "&amp;MOD(W19,4000)&amp;" cái ",VALUE(W19/100)&amp;"túi")</f>
        <v xml:space="preserve">2 thùng + 600 cái </v>
      </c>
      <c r="Y19" s="291"/>
      <c r="Z19" s="244">
        <v>11906</v>
      </c>
      <c r="AA19" s="278" t="str">
        <f>IF(INT(Z19/4000)&gt;=1,INT(Z19/4000)&amp;" thùng + "&amp;MOD(Z19,4000)/100&amp;" túi ",VALUE(Z19/100)&amp;"túi")</f>
        <v xml:space="preserve">2 thùng + 39.06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2800</v>
      </c>
      <c r="AI19" s="277" t="str">
        <f>IF(INT(AH19/4000)&gt;=1,INT(AH19/4000)&amp;" thùng + "&amp;MOD(AH19,4000)&amp;" cái ",VALUE(AH19/100)&amp;"túi")</f>
        <v>28túi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1000</v>
      </c>
      <c r="AS19" s="277" t="str">
        <f>IF(INT(AR19/4000)&gt;=1,INT(AR19/4000)&amp;" thùng + "&amp;MOD(AR19,4000)&amp;" cái ",VALUE(AR19/100)&amp;"túi")</f>
        <v>10túi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800</v>
      </c>
      <c r="AI20" s="278" t="str">
        <f>IF(INT(AH20/2000)&gt;=1,INT(AH20/2000)&amp;" thùng + "&amp;MOD(AH20,2000)/100&amp;" túi ",VALUE(AH20/100)&amp;"túi")</f>
        <v>8túi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580</v>
      </c>
      <c r="L21" s="363" t="str">
        <f>IF(INT(K21/100)&gt;=1,INT(K21/100)&amp;" thùng + "&amp;MOD(K21,100)&amp;" cái ",VALUE(K21/100)&amp;"cái")</f>
        <v xml:space="preserve">5 thùng + 80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232</v>
      </c>
      <c r="AA21" s="278" t="str">
        <f>IF(INT(Z21/400)&gt;=1,INT(Z21/400)&amp;" thùng + "&amp;MOD(Z21,400)/100&amp;" túi ",VALUE(Z21/100)&amp;"túi")</f>
        <v>2.32túi</v>
      </c>
      <c r="AB21" s="398"/>
      <c r="AC21" s="423"/>
      <c r="AD21" s="116" t="s">
        <v>56</v>
      </c>
      <c r="AE21" s="250"/>
      <c r="AF21" s="286"/>
      <c r="AG21" s="305"/>
      <c r="AH21" s="250">
        <v>800</v>
      </c>
      <c r="AI21" s="277" t="str">
        <f>IF(INT(AH21/100)&gt;=1,INT(AH21/100)&amp;" thùng + "&amp;MOD(AH21,100)/100&amp;" túi ",VALUE(AH21/100)&amp;"túi")</f>
        <v xml:space="preserve">8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580</v>
      </c>
      <c r="L22" s="363" t="str">
        <f>IF(INT(K22/100)&gt;=1,INT(K22/100)&amp;" thùng + "&amp;MOD(K22,100)&amp;" cái ",VALUE(K22/100)&amp;"cái")</f>
        <v xml:space="preserve">5 thùng + 80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300</v>
      </c>
      <c r="X22" s="278" t="str">
        <f>IF(INT(W22/300)&gt;=1,INT(W22/300)&amp;" thùng + "&amp;MOD(W22,300)/100&amp;" túi ",VALUE(W22/100)&amp;"túi")</f>
        <v xml:space="preserve">1 thùng + 0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800</v>
      </c>
      <c r="AI22" s="278" t="str">
        <f>IF(INT(AH22/100)&gt;=1,INT(AH22/100)&amp;" thùng + "&amp;MOD(AH22,100)/100&amp;" túi ",VALUE(AH22/100)&amp;"túi")</f>
        <v xml:space="preserve">8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 t="s">
        <v>336</v>
      </c>
      <c r="U23" s="277" t="e">
        <f>IF(INT(T23/600)&gt;=1,INT(T23/600)&amp;" thùng + "&amp;MOD(T23,600)/100&amp;" túi ",VALUE(T23/100)&amp;"túi")</f>
        <v>#VALUE!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232</v>
      </c>
      <c r="AA23" s="277" t="str">
        <f>IF(INT(Z23/600)&gt;=1,INT(Z23/600)&amp;" thùng + "&amp;MOD(Z23,600)/100&amp;" túi ",VALUE(Z23/100)&amp;"túi")</f>
        <v>2.32túi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100</v>
      </c>
      <c r="AS23" s="277" t="str">
        <f>IF(INT(AR23/400)&gt;=1,INT(AR23/400)&amp;" thùng + "&amp;MOD(AR23,400)&amp;" cái ",VALUE(AR23)&amp;"cái")</f>
        <v>100cái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1500</v>
      </c>
      <c r="L24" s="277" t="str">
        <f>IF(INT(K24/600)&gt;=1,INT(K24/600)&amp;" thùng + "&amp;MOD(K24,600)/100&amp;" túi ",VALUE(K24/100)&amp;"túi")</f>
        <v xml:space="preserve">2 thùng + 3 túi </v>
      </c>
      <c r="M24" s="291"/>
      <c r="N24" s="71"/>
      <c r="O24" s="246"/>
      <c r="P24" s="123"/>
      <c r="Q24" s="130"/>
      <c r="S24" s="103" t="s">
        <v>60</v>
      </c>
      <c r="T24" s="244">
        <v>1500</v>
      </c>
      <c r="U24" s="277" t="str">
        <f>IF(INT(T24/500)&gt;=1,INT(T24/500)&amp;" thùng + "&amp;MOD(T24,500)/100&amp;" túi ",VALUE(T24/100)&amp;"túi")</f>
        <v xml:space="preserve">3 thùng + 0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232</v>
      </c>
      <c r="AA24" s="277" t="str">
        <f>IF(INT(Z24/500)&gt;=1,INT(Z24/500)&amp;" thùng + "&amp;MOD(Z24,500)/100&amp;" túi ",VALUE(Z24/100)&amp;"túi")</f>
        <v>2.32túi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100</v>
      </c>
      <c r="AS24" s="277" t="str">
        <f>IF(INT(AR24/250)&gt;=1,INT(AR24/250)&amp;" thùng + "&amp;MOD(AR24,250)&amp;" cái ",VALUE(AR24)&amp;"cái")</f>
        <v>100cái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925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6920</v>
      </c>
      <c r="C26" s="277" t="str">
        <f>IF(INT(B26/4000)&gt;=1,INT(B26/4000)&amp;" thùng + "&amp;MOD(B26,4000)/100&amp;" túi ",VALUE(B26/100)&amp;"túi")</f>
        <v xml:space="preserve">1 thùng + 29.2 túi 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3840</v>
      </c>
      <c r="U26" s="278" t="str">
        <f>IF(INT(T26/4000)&gt;=1,INT(T26/4000)&amp;" thùng + "&amp;MOD(T26,4000)/100&amp;" túi ",VALUE(T26/100)&amp;"túi")</f>
        <v>38.4túi</v>
      </c>
      <c r="V26" s="291"/>
      <c r="W26" s="244">
        <v>2600</v>
      </c>
      <c r="X26" s="278" t="str">
        <f>IF(INT(W26/4000)&gt;=1,INT(W26/4000)&amp;" thùng + "&amp;MOD(W26,4000)/100&amp;" túi ",VALUE(W26/100)&amp;"túi")</f>
        <v>26túi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500</v>
      </c>
      <c r="L27" s="363" t="str">
        <f>IF(INT(K27/50)&gt;=1,INT(K27/50)&amp;" thùng + "&amp;MOD(K27,50)&amp;" cái ",VALUE(K27/50)&amp;"cái")</f>
        <v xml:space="preserve">10 thùng + 0 cái </v>
      </c>
      <c r="M27" s="293"/>
      <c r="N27" s="81" t="s">
        <v>9</v>
      </c>
      <c r="O27" s="242">
        <v>700</v>
      </c>
      <c r="P27" s="363" t="str">
        <f>IF(INT(O27/50)&gt;=1,INT(O27/50)&amp;" thùng + "&amp;MOD(O27,50)&amp;" cái ",VALUE(O27/50)&amp;"cái")</f>
        <v xml:space="preserve">14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464</v>
      </c>
      <c r="AA27" s="278" t="str">
        <f>IF(INT(Z27/400)&gt;=1,INT(Z27/400)&amp;" thùng + "&amp;MOD(Z27,400)/100&amp;" túi ",VALUE(Z27/100)&amp;"túi")</f>
        <v xml:space="preserve">1 thùng + 0.64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924" t="s">
        <v>273</v>
      </c>
      <c r="B28" s="244">
        <v>2364</v>
      </c>
      <c r="C28" s="277" t="str">
        <f>IF(INT(B28/3000)&gt;=1,INT(B28/3000)&amp;" thùng + "&amp;MOD(B28,3000)/100&amp;" túi ",VALUE(B28/100)&amp;"túi")</f>
        <v>23.64túi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/>
      <c r="AA28" s="278" t="str">
        <f>IF(INT(Z28/1000)&gt;=1,INT(Z28/1000)&amp;" thùng + "&amp;MOD(Z28,1000)/100&amp;" túi ",VALUE(Z28/100)&amp;"túi")</f>
        <v>0túi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900</v>
      </c>
      <c r="AS28" s="385" t="str">
        <f>IF(INT(AR28/1000)&gt;=1,INT(AR28/1000)&amp;" thùng + "&amp;MOD(AR28,1000)/100&amp;" túi ",VALUE(AR28/100)&amp;"túi")</f>
        <v>9túi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>
        <v>700</v>
      </c>
      <c r="G29" s="277" t="str">
        <f>IF(INT(F29/1500)&gt;=1,INT(F29/1500)&amp;" thùng + "&amp;MOD(F29,1500)/100&amp;" túi ",VALUE(F29/100)&amp;"túi")</f>
        <v>7túi</v>
      </c>
      <c r="H29" s="349"/>
      <c r="J29" s="235" t="s">
        <v>89</v>
      </c>
      <c r="K29" s="327">
        <v>250</v>
      </c>
      <c r="L29" s="363" t="str">
        <f>IF(INT(K29/20)&gt;=1,INT(K29/20)&amp;" thùng + "&amp;MOD(K29,20)&amp;" cái ",VALUE(K29/20)&amp;"cái")</f>
        <v xml:space="preserve">12 thùng + 10 cái </v>
      </c>
      <c r="M29" s="293"/>
      <c r="N29" s="71" t="s">
        <v>89</v>
      </c>
      <c r="O29" s="326">
        <v>100</v>
      </c>
      <c r="P29" s="363" t="str">
        <f>IF(INT(O29/20)&gt;=1,INT(O29/20)&amp;" thùng + "&amp;MOD(O29,20)&amp;" cái ",VALUE(O29/20)&amp;"cái")</f>
        <v xml:space="preserve">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232</v>
      </c>
      <c r="AA29" s="278" t="str">
        <f>IF(INT(Z29/200)&gt;=1,INT(Z29/200)&amp;" thùng + "&amp;MOD(Z29,200)/50&amp;" túi ",VALUE(Z29/50)&amp;"túi")</f>
        <v xml:space="preserve">1 thùng + 0.64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1180</v>
      </c>
      <c r="L30" s="363" t="str">
        <f>IF(INT(K30/100)&gt;=1,INT(K30/100)&amp;" thùng + "&amp;MOD(K30,100)&amp;" cái ",VALUE(K30/100)&amp;"cái")</f>
        <v xml:space="preserve">11 thùng + 80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470</v>
      </c>
      <c r="AA31" s="363" t="str">
        <f>IF(INT(Z31/20)&gt;=1,INT(Z31/20)&amp;" thùng + "&amp;MOD(Z31,20)&amp;" cái ",VALUE(Z31/20)&amp;"cái")</f>
        <v xml:space="preserve">23 thùng + 10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1180</v>
      </c>
      <c r="L32" s="363" t="str">
        <f>IF(INT(K32/100)&gt;=1,INT(K32/100)&amp;" thùng + "&amp;MOD(K32,100)&amp;" cái ",VALUE(K32/100)&amp;"cái")</f>
        <v xml:space="preserve">11 thùng + 80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470</v>
      </c>
      <c r="AA32" s="278" t="str">
        <f>IF(INT(Z32/200)&gt;=1,INT(Z32/200)&amp;" thùng + "&amp;MOD(Z32,200)/20&amp;" túi ",VALUE(Z32)&amp;"cái")</f>
        <v xml:space="preserve">2 thùng + 3.5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1400</v>
      </c>
      <c r="X33" s="278" t="str">
        <f>IF(INT(W33/300)&gt;=1,INT(W33/300)&amp;" thùng + "&amp;MOD(W33,300)/100&amp;" túi ",VALUE(W33/100)&amp;"túi")</f>
        <v xml:space="preserve">4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387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 t="s">
        <v>406</v>
      </c>
      <c r="L34" s="277" t="e">
        <f>IF(INT(K34/1000)&gt;=1,INT(K34/1000)&amp;" thùng + "&amp;MOD(K34,1000)/100&amp;" túi ",VALUE(K34/100)&amp;"túi")</f>
        <v>#VALUE!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700</v>
      </c>
      <c r="X34" s="278" t="str">
        <f>IF(INT(W34/1000)&gt;=1,INT(W34/1000)&amp;" thùng + "&amp;MOD(W34,1000)/100&amp;" túi ",VALUE(W34/100)&amp;"túi")</f>
        <v>7túi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464</v>
      </c>
      <c r="AA35" s="278" t="str">
        <f>IF(INT(Z35/4000)&gt;=1,INT(Z35/4000)&amp;" thùng + "&amp;MOD(Z35,4000)/100&amp;" túi ",VALUE(Z35/100)&amp;"túi")</f>
        <v>4.64túi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464</v>
      </c>
      <c r="AA36" s="277" t="str">
        <f>IF(INT(Z36/50)&gt;=1,INT(Z36/50)&amp;" thùng + "&amp;MOD(Z36,50)&amp;" cái ",VALUE(Z36)&amp;"cái")</f>
        <v xml:space="preserve">9 thùng + 14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>
        <v>700</v>
      </c>
      <c r="G37" s="278" t="str">
        <f>IF(INT(F37/200)&gt;=1,INT(F37/200)&amp;" thùng + "&amp;MOD(F37,200)&amp;" cái",VALUE(F37)&amp;"cái")</f>
        <v>3 thùng + 100 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232</v>
      </c>
      <c r="AA37" s="277" t="str">
        <f>IF(INT(Z37/1000)&gt;=1,INT(Z37/1000)&amp;" thùng + "&amp;MOD(Z37,1000)/100&amp;" túi ",VALUE(Z37/100)&amp;"túi")</f>
        <v>2.32túi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>
        <v>14700</v>
      </c>
      <c r="C38" s="277" t="str">
        <f>IF(INT(B38/4000)&gt;=1,INT(B38/4000)&amp;" thùng + "&amp;MOD(B38,4000)/100&amp;" túi ",VALUE(B38/100)&amp;"túi")</f>
        <v xml:space="preserve">3 thùng + 27 túi 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928</v>
      </c>
      <c r="AA38" s="278" t="str">
        <f>IF(INT(Z38/3000)&gt;=1,INT(Z38/3000)&amp;" thùng + "&amp;MOD(Z38,3000)/100&amp;" túi ",VALUE(Z38/100)&amp;"túi")</f>
        <v>9.28túi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232</v>
      </c>
      <c r="AA39" s="278" t="str">
        <f t="shared" ref="AA39" si="9">IF(INT(Z39/2000)&gt;=1,INT(Z39/2000)&amp;" thùng + "&amp;MOD(Z39,2000)/100&amp;" túi ",VALUE(Z39/100)&amp;"túi")</f>
        <v>2.32túi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470</v>
      </c>
      <c r="AA41" s="277" t="str">
        <f>IF(INT(Z41/100)&gt;=1,INT(Z41/100)&amp;" thùng + "&amp;MOD(Z41,100)/50&amp;" túi ",VALUE(Z41)&amp;"cái")</f>
        <v xml:space="preserve">4 thùng + 1.4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940</v>
      </c>
      <c r="AA42" s="278" t="str">
        <f>IF(INT(Z42/3000)&gt;=1,INT(Z42/3000)&amp;" thùng + "&amp;MOD(Z42,3000)/100&amp;" túi ",VALUE(Z42/100)&amp;"túi")</f>
        <v>9.4túi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 t="s">
        <v>405</v>
      </c>
      <c r="AA43" s="277" t="e">
        <f>IF(INT(Z43/1000)&gt;=1,INT(Z43/1000)&amp;" thùng + "&amp;MOD(Z43,1000)/100&amp;" túi ",VALUE(Z43/100)&amp;"túi")</f>
        <v>#VALUE!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470</v>
      </c>
      <c r="AA44" s="278" t="str">
        <f>IF(INT(Z44/4000)&gt;=1,INT(Z44/4000)&amp;" thùng + "&amp;MOD(Z44,4000)/100&amp;" túi ",VALUE(Z44/100)&amp;"túi")</f>
        <v>4.7túi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600</v>
      </c>
      <c r="X45" s="277" t="str">
        <f>IF(INT(W45/400)&gt;=1,INT(W45/400)&amp;" thùng + "&amp;MOD(W45,400)/100&amp;" túi ",VALUE(W45)&amp;"cái")</f>
        <v xml:space="preserve">1 thùng + 2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600</v>
      </c>
      <c r="X46" s="278" t="str">
        <f>IF(INT(W46/100)&gt;=1,INT(W46/100)&amp;" thùng + "&amp;MOD(W46,100)/100&amp;" túi ",VALUE(W46)&amp;"cái")</f>
        <v xml:space="preserve">6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700</v>
      </c>
      <c r="X47" s="278" t="str">
        <f>IF(INT(W47/50)&gt;=1,INT(W47/50)&amp;" thùng + "&amp;MOD(W47,50)/10&amp;" túi ",VALUE(W47/10)&amp;"túi")</f>
        <v xml:space="preserve">14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300</v>
      </c>
      <c r="AS47" s="278" t="str">
        <f>IF(INT(AR47/50)&gt;=1,INT(AR47/50)&amp;" thùng + "&amp;MOD(AR47,50)/10&amp;" túi ",VALUE(AR47/10)&amp;"túi")</f>
        <v xml:space="preserve">6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1600</v>
      </c>
      <c r="X48" s="278" t="str">
        <f>IF(INT(W48/100)&gt;=1,INT(W48/100)&amp;" thùng + "&amp;MOD(W48,100)/100&amp;" túi ",VALUE(W48)&amp;"cái")</f>
        <v xml:space="preserve">16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400</v>
      </c>
      <c r="X49" s="277" t="str">
        <f>IF(INT(W49/600)&gt;=1,INT(W49/600)&amp;" thùng + "&amp;MOD(W49,600)/20&amp;" túi ",VALUE(W49)&amp;"cái")</f>
        <v>400cái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400</v>
      </c>
      <c r="AP54" s="389" t="str">
        <f>IF(INT(AO54/3000)&gt;=1,INT(AO54/3000)&amp;" thùng + "&amp;MOD(AO54,3000)/100&amp;" túi ",VALUE(AO54/100)&amp;"túi")</f>
        <v>4túi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>
  <sheetPr>
    <tabColor rgb="FFFF0000"/>
  </sheetPr>
  <dimension ref="A1:L85"/>
  <sheetViews>
    <sheetView topLeftCell="A19" zoomScaleNormal="100" workbookViewId="0">
      <selection activeCell="B19" sqref="B19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812"/>
      <c r="G1" s="811"/>
      <c r="H1" s="978" t="s">
        <v>268</v>
      </c>
      <c r="I1" s="979"/>
      <c r="J1" s="979"/>
      <c r="K1" s="979"/>
      <c r="L1" s="980"/>
    </row>
    <row r="2" spans="1:12" ht="26.25" customHeight="1">
      <c r="A2" s="4" t="s">
        <v>400</v>
      </c>
      <c r="B2" s="141"/>
      <c r="C2" s="5"/>
      <c r="D2" s="1033" t="s">
        <v>260</v>
      </c>
      <c r="E2" s="1033"/>
      <c r="F2" s="1034"/>
      <c r="G2" s="814"/>
      <c r="H2" s="440" t="str">
        <f>A2</f>
        <v>Ngày 27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815">
        <v>4</v>
      </c>
      <c r="J3" s="815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815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813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500</v>
      </c>
      <c r="C19" s="278" t="str">
        <f>IF(INT(B19/6000)&gt;=1,INT(B19/6000)&amp;" thùng + "&amp;MOD(B19,6000)/100&amp;" túi ",VALUE(B19/100)&amp;"túi")</f>
        <v>5túi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500</v>
      </c>
      <c r="C20" s="278" t="str">
        <f>IF(INT(B20/1200)&gt;=1,INT(B20/1200)&amp;" thùng + "&amp;MOD(B20,1200)/100&amp;" túi ",VALUE(B20/100)&amp;"túi")</f>
        <v>5túi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500</v>
      </c>
      <c r="C21" s="277" t="str">
        <f>IF(INT(B21/25)&gt;=1,INT(B21/25)&amp;" thùng + "&amp;MOD(B21,25)&amp;" cái ",VALUE(B21/25)&amp;"cái")</f>
        <v xml:space="preserve">20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1000</v>
      </c>
      <c r="C22" s="278" t="str">
        <f>IF(INT(B22/100)&gt;=1,INT(B22/100)&amp;" thùng + "&amp;MOD(B22,100)/100&amp;" túi ",VALUE(B22/100)&amp;"túi")</f>
        <v xml:space="preserve">10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1000</v>
      </c>
      <c r="C23" s="278" t="str">
        <f t="shared" ref="C23" si="0">IF(INT(B23/2000)&gt;=1,INT(B23/2000)&amp;" thùng + "&amp;MOD(B23,2000)/100&amp;" túi ",VALUE(B23/100)&amp;"túi")</f>
        <v>10túi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1000</v>
      </c>
      <c r="C24" s="278" t="str">
        <f>IF(INT(B24/100)&gt;=1,INT(B24/100)&amp;" thùng + "&amp;MOD(B24,100)/100&amp;" túi ",VALUE(B24/100)&amp;"túi")</f>
        <v xml:space="preserve">10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500</v>
      </c>
      <c r="C25" s="278" t="str">
        <f>IF(INT(B25/500)&gt;=1,INT(B25/500)&amp;" thùng + "&amp;MOD(B25,500)/100&amp;" túi ",VALUE(B25/100)&amp;"túi")</f>
        <v xml:space="preserve">1 thùng + 0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500</v>
      </c>
      <c r="C26" s="278" t="str">
        <f>IF(INT(B26/500)&gt;=1,INT(B26/500)&amp;" thùng + "&amp;MOD(B26,500)/100&amp;" túi ",VALUE(B26/100)&amp;"túi")</f>
        <v xml:space="preserve">1 thùng + 0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500</v>
      </c>
      <c r="C27" s="278" t="str">
        <f>IF(INT(B27/200)&gt;=1,INT(B27/200)&amp;" thùng + "&amp;MOD(B27,200)/100&amp;" túi ",VALUE(B27/100)&amp;"cái")</f>
        <v xml:space="preserve">2 thùng + 1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900</v>
      </c>
      <c r="C32" s="278" t="str">
        <f>IF(INT(B32/200)&gt;=1,INT(B32/200)&amp;" thùng + "&amp;MOD(B32,200)&amp;" cái",VALUE(B32)&amp;"cái")</f>
        <v>4 thùng + 100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1100</v>
      </c>
      <c r="C34" s="278" t="str">
        <f>IF(INT(B34/1000)&gt;=1,INT(B34/1000)&amp;" thùng + "&amp;MOD(B34,1000)&amp;" cái",VALUE(B34)&amp;"cái")</f>
        <v>1 thùng + 100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2200</v>
      </c>
      <c r="C35" s="278" t="str">
        <f>IF(INT(B35/500)&gt;=1,INT(B35/500)&amp;" thùng + "&amp;MOD(B35,500)/100&amp;" túi",VALUE(B35/100)&amp;"túi")</f>
        <v>4 thùng + 2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1000</v>
      </c>
      <c r="C36" s="278" t="str">
        <f t="shared" ref="C36" si="1">IF(INT(B36/2000)&gt;=1,INT(B36/2000)&amp;" thùng + "&amp;MOD(B36,2000)/100&amp;" túi ",VALUE(B36/100)&amp;"túi")</f>
        <v>10túi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1100</v>
      </c>
      <c r="C37" s="278" t="str">
        <f>IF(INT(B37/400)&gt;=1,INT(B37/400)&amp;" thùng + "&amp;MOD(B37,400)/100&amp;" túi ",VALUE(B37/100)&amp;"túi")</f>
        <v xml:space="preserve">2 thùng + 3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C132"/>
  <sheetViews>
    <sheetView zoomScale="80" zoomScaleNormal="80" workbookViewId="0">
      <pane ySplit="7" topLeftCell="A8" activePane="bottomLeft" state="frozen"/>
      <selection activeCell="Z27" sqref="Z27"/>
      <selection pane="bottomLeft" activeCell="K32" sqref="K32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8" style="61" customWidth="1"/>
    <col min="33" max="33" width="7" style="6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816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818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817"/>
      <c r="AC1" s="415"/>
      <c r="AD1" s="958" t="str">
        <f>A1</f>
        <v>BẢNG KÊ XUẤT HÀNG THÁNG 1 NĂM 2018</v>
      </c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 t="str">
        <f>J1</f>
        <v>BẢNG KÊ XUẤT HÀNG THÁNG 1 NĂM 2018</v>
      </c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407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30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30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30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30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819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828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819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819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829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829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827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825"/>
      <c r="Z6" s="1019" t="s">
        <v>222</v>
      </c>
      <c r="AA6" s="1019"/>
      <c r="AB6" s="951"/>
      <c r="AC6" s="419"/>
      <c r="AD6" s="1031" t="s">
        <v>0</v>
      </c>
      <c r="AE6" s="965" t="s">
        <v>224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826"/>
      <c r="K7" s="74" t="s">
        <v>63</v>
      </c>
      <c r="L7" s="74" t="s">
        <v>217</v>
      </c>
      <c r="M7" s="370" t="s">
        <v>230</v>
      </c>
      <c r="N7" s="932"/>
      <c r="O7" s="821" t="s">
        <v>63</v>
      </c>
      <c r="P7" s="821" t="s">
        <v>217</v>
      </c>
      <c r="Q7" s="371" t="s">
        <v>230</v>
      </c>
      <c r="S7" s="939"/>
      <c r="T7" s="74" t="s">
        <v>259</v>
      </c>
      <c r="U7" s="74" t="s">
        <v>217</v>
      </c>
      <c r="V7" s="821" t="s">
        <v>230</v>
      </c>
      <c r="W7" s="74" t="s">
        <v>63</v>
      </c>
      <c r="X7" s="74" t="s">
        <v>217</v>
      </c>
      <c r="Y7" s="821" t="s">
        <v>230</v>
      </c>
      <c r="Z7" s="315" t="s">
        <v>63</v>
      </c>
      <c r="AA7" s="821" t="s">
        <v>217</v>
      </c>
      <c r="AB7" s="394" t="s">
        <v>230</v>
      </c>
      <c r="AC7" s="420"/>
      <c r="AD7" s="1032"/>
      <c r="AE7" s="383" t="s">
        <v>63</v>
      </c>
      <c r="AF7" s="821" t="s">
        <v>217</v>
      </c>
      <c r="AG7" s="821" t="s">
        <v>230</v>
      </c>
      <c r="AH7" s="372" t="s">
        <v>63</v>
      </c>
      <c r="AI7" s="821" t="s">
        <v>217</v>
      </c>
      <c r="AJ7" s="821" t="s">
        <v>230</v>
      </c>
      <c r="AK7" s="820" t="s">
        <v>63</v>
      </c>
      <c r="AL7" s="340" t="s">
        <v>217</v>
      </c>
      <c r="AM7" s="420"/>
      <c r="AN7" s="1021"/>
      <c r="AO7" s="372" t="s">
        <v>63</v>
      </c>
      <c r="AP7" s="821" t="s">
        <v>217</v>
      </c>
      <c r="AQ7" s="821" t="s">
        <v>230</v>
      </c>
      <c r="AR7" s="821" t="s">
        <v>63</v>
      </c>
      <c r="AS7" s="821" t="s">
        <v>217</v>
      </c>
      <c r="AT7" s="821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/>
      <c r="C8" s="276" t="str">
        <f>IF(INT(B8/4000)&gt;=1,INT(B8/4000)&amp;" thùng + "&amp;MOD(B8,4000)/100&amp;" túi ",VALUE(B8/100)&amp;"túi")</f>
        <v>0túi</v>
      </c>
      <c r="D8" s="356"/>
      <c r="E8" s="357"/>
      <c r="F8" s="253"/>
      <c r="G8" s="358"/>
      <c r="H8" s="341">
        <v>0</v>
      </c>
      <c r="J8" s="178" t="s">
        <v>37</v>
      </c>
      <c r="K8" s="245">
        <v>290</v>
      </c>
      <c r="L8" s="276" t="str">
        <f>IF(INT(K8/4000)&gt;=1,INT(K8/4000)&amp;" thùng + "&amp;MOD(K8,4000)/100&amp;" túi ",VALUE(K8/100)&amp;"túi")</f>
        <v>2.9túi</v>
      </c>
      <c r="M8" s="313"/>
      <c r="N8" s="71"/>
      <c r="O8" s="98"/>
      <c r="P8" s="71"/>
      <c r="Q8" s="102"/>
      <c r="S8" s="178" t="s">
        <v>114</v>
      </c>
      <c r="T8" s="257" t="s">
        <v>410</v>
      </c>
      <c r="U8" s="277" t="e">
        <f>IF(INT(T8/400)&gt;=1,INT(T8/400)&amp;" thùng + "&amp;MOD(T8,400)/50&amp;" túi ",VALUE(T8/50)&amp;"cái")</f>
        <v>#VALUE!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304"/>
      <c r="AG8" s="304"/>
      <c r="AH8" s="243">
        <v>380</v>
      </c>
      <c r="AI8" s="276" t="str">
        <f>IF(INT(AH8/4000)&gt;=1,INT(AH8/4000)&amp;" thùng + "&amp;MOD(AH8,4000)/100&amp;" túi ",VALUE(AH8/100)&amp;"túi")</f>
        <v>3.8túi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/>
      <c r="C9" s="277" t="str">
        <f>IF(INT(B9/500)&gt;=1,INT(B9/500)&amp;" thùng + "&amp;MOD(B9,500)/100&amp;" túi ",VALUE(B9/100)&amp;"túi")</f>
        <v>0túi</v>
      </c>
      <c r="D9" s="291"/>
      <c r="E9" s="81"/>
      <c r="F9" s="242"/>
      <c r="G9" s="113"/>
      <c r="H9" s="342"/>
      <c r="J9" s="114" t="s">
        <v>44</v>
      </c>
      <c r="K9" s="242">
        <v>290</v>
      </c>
      <c r="L9" s="277" t="str">
        <f>IF(INT(K9/500)&gt;=1,INT(K9/500)&amp;" thùng + "&amp;MOD(K9,500)/100&amp;" túi ",VALUE(K9/100)&amp;"túi")</f>
        <v>2.9túi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800</v>
      </c>
      <c r="X9" s="278" t="str">
        <f>IF(INT(W9/4000)&gt;=1,INT(W9/4000)&amp;" thùng + "&amp;MOD(W9,4000)/100&amp;" túi ",VALUE(W9/100)&amp;"túi")</f>
        <v>8túi</v>
      </c>
      <c r="Y9" s="313"/>
      <c r="Z9" s="245">
        <v>340</v>
      </c>
      <c r="AA9" s="278" t="str">
        <f>IF(INT(Z9/4000)&gt;=1,INT(Z9/4000)&amp;" thùng + "&amp;MOD(Z9,4000)/100&amp;" túi ",VALUE(Z9/100)&amp;"túi")</f>
        <v>3.4túi</v>
      </c>
      <c r="AB9" s="397"/>
      <c r="AC9" s="422"/>
      <c r="AD9" s="112" t="s">
        <v>238</v>
      </c>
      <c r="AE9" s="242"/>
      <c r="AF9" s="279"/>
      <c r="AG9" s="293"/>
      <c r="AH9" s="242">
        <v>380</v>
      </c>
      <c r="AI9" s="277" t="str">
        <f>IF(INT(AH9/500)&gt;=1,INT(AH9/500)&amp;" thùng + "&amp;MOD(AH9,500)/100&amp;" túi ",VALUE(AH9/100)&amp;"túi")</f>
        <v>3.8túi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>
        <v>900</v>
      </c>
      <c r="C10" s="277" t="str">
        <f>IF(INT(B10/500)&gt;=1,INT(B10/500)&amp;" thùng + "&amp;MOD(B10,500)/100&amp;" túi ",VALUE(B10/100)&amp;"túi")</f>
        <v xml:space="preserve">1 thùng + 4 túi </v>
      </c>
      <c r="D10" s="291"/>
      <c r="E10" s="71" t="s">
        <v>40</v>
      </c>
      <c r="F10" s="244">
        <v>800</v>
      </c>
      <c r="G10" s="277" t="str">
        <f>IF(INT(F10/500)&gt;=1,INT(F10/500)&amp;" thùng + "&amp;MOD(F10,500)/100&amp;" túi ",VALUE(F10/100)&amp;"túi")</f>
        <v xml:space="preserve">1 thùng + 3 túi </v>
      </c>
      <c r="H10" s="343"/>
      <c r="J10" s="103" t="s">
        <v>40</v>
      </c>
      <c r="K10" s="244">
        <v>590</v>
      </c>
      <c r="L10" s="278" t="str">
        <f>IF(INT(K10/500)&gt;=1,INT(K10/500)&amp;" thùng + "&amp;MOD(K10,500)/100&amp;" túi ",VALUE(K10/100)&amp;"túi")</f>
        <v xml:space="preserve">1 thùng + 0.9 túi 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800</v>
      </c>
      <c r="AF10" s="278" t="str">
        <f>IF(INT(AE10/500)&gt;=1,INT(AE10/500)&amp;" thùng + "&amp;MOD(AE10,500)/100&amp;" túi ",VALUE(AE10/100)&amp;"túi")</f>
        <v xml:space="preserve">1 thùng + 3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>
        <v>100</v>
      </c>
      <c r="AP10" s="278" t="str">
        <f>IF(INT(AO10/500)&gt;=1,INT(AO10/500)&amp;" thùng + "&amp;MOD(AO10,500)/100&amp;" túi ",VALUE(AO10/100)&amp;"túi")</f>
        <v>1túi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1400</v>
      </c>
      <c r="L11" s="277" t="str">
        <f t="shared" ref="L11:L12" si="0">IF(INT(K11/2000)&gt;=1,INT(K11/2000)&amp;" thùng + "&amp;MOD(K11,2000)/100&amp;" túi ",VALUE(K11/100)&amp;"túi")</f>
        <v>14túi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720</v>
      </c>
      <c r="AA11" s="277" t="str">
        <f>IF(INT(Z11/3000)&gt;=1,INT(Z11/3000)&amp;" thùng + "&amp;MOD(Z11,3000)/100&amp;" túi ",VALUE(Z11/100)&amp;"túi")</f>
        <v>7.2túi</v>
      </c>
      <c r="AB11" s="398"/>
      <c r="AC11" s="423"/>
      <c r="AD11" s="112" t="s">
        <v>57</v>
      </c>
      <c r="AE11" s="330"/>
      <c r="AF11" s="277" t="str">
        <f>IF(INT(AE11/2000)&gt;=1,INT(AE11/2000)&amp;" thùng + "&amp;MOD(AE11,2000)/100&amp;" túi ",VALUE(AE11)&amp;"cái")</f>
        <v>0cái</v>
      </c>
      <c r="AG11" s="291"/>
      <c r="AH11" s="242">
        <v>800</v>
      </c>
      <c r="AI11" s="277" t="str">
        <f>IF(INT(AH11/2000)&gt;=1,INT(AH11/2000)&amp;" thùng + "&amp;MOD(AH11,2000)/100&amp;" túi ",VALUE(AH11/100)&amp;"túi")</f>
        <v>8túi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2600</v>
      </c>
      <c r="G12" s="277" t="str">
        <f>IF(INT(F12/2000)&gt;=1,INT(F12/2000)&amp;" thùng + "&amp;MOD(F12,2000)/100&amp;" túi ",VALUE(F12/100)&amp;"túi")</f>
        <v xml:space="preserve">1 thùng + 6 túi </v>
      </c>
      <c r="H12" s="343"/>
      <c r="J12" s="105" t="s">
        <v>112</v>
      </c>
      <c r="K12" s="244">
        <v>2800</v>
      </c>
      <c r="L12" s="278" t="str">
        <f t="shared" si="0"/>
        <v xml:space="preserve">1 thùng + 8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2800</v>
      </c>
      <c r="X12" s="278" t="str">
        <f t="shared" ref="X12" si="1">IF(INT(W12/2000)&gt;=1,INT(W12/2000)&amp;" thùng + "&amp;MOD(W12,2000)/100&amp;" túi ",VALUE(W12/100)&amp;"túi")</f>
        <v xml:space="preserve">1 thùng + 8 túi </v>
      </c>
      <c r="Y12" s="292"/>
      <c r="Z12" s="244"/>
      <c r="AA12" s="278" t="str">
        <f t="shared" ref="AA12" si="2">IF(INT(Z12/2000)&gt;=1,INT(Z12/2000)&amp;" thùng + "&amp;MOD(Z12,2000)/100&amp;" túi ",VALUE(Z12/100)&amp;"túi")</f>
        <v>0túi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>
        <v>200</v>
      </c>
      <c r="AP12" s="385" t="str">
        <f t="shared" ref="AP12" si="3">IF(INT(AO12/2000)&gt;=1,INT(AO12/2000)&amp;" thùng + "&amp;MOD(AO12,2000)/100&amp;" túi ",VALUE(AO12/100)&amp;"túi")</f>
        <v>2túi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600</v>
      </c>
      <c r="AV12" s="385" t="str">
        <f t="shared" si="4"/>
        <v>6túi</v>
      </c>
      <c r="AW12" s="297"/>
    </row>
    <row r="13" spans="1:133" s="88" customFormat="1" ht="14.25" customHeight="1">
      <c r="A13" s="114" t="s">
        <v>51</v>
      </c>
      <c r="B13" s="242">
        <v>900</v>
      </c>
      <c r="C13" s="277" t="str">
        <f>IF(INT(B13/600)&gt;=1,INT(B13/600)&amp;" thùng + "&amp;MOD(B13,600)/100&amp;" túi ",VALUE(B13/100)&amp;"túi")</f>
        <v xml:space="preserve">1 thùng + 3 túi </v>
      </c>
      <c r="D13" s="291"/>
      <c r="E13" s="119" t="s">
        <v>51</v>
      </c>
      <c r="F13" s="242">
        <v>1400</v>
      </c>
      <c r="G13" s="277" t="str">
        <f>IF(INT(F13/600)&gt;=1,INT(F13/600)&amp;" thùng + "&amp;MOD(F13,600)/100&amp;" túi ",VALUE(F13/100)&amp;"túi")</f>
        <v xml:space="preserve">2 thùng + 2 túi </v>
      </c>
      <c r="H13" s="344"/>
      <c r="J13" s="114" t="s">
        <v>51</v>
      </c>
      <c r="K13" s="242">
        <v>880</v>
      </c>
      <c r="L13" s="278" t="str">
        <f>IF(INT(K13/600)&gt;=1,INT(K13/600)&amp;" thùng + "&amp;MOD(K13,600)/100&amp;" túi ",VALUE(K13/100)&amp;"túi")</f>
        <v xml:space="preserve">1 thùng + 2.8 túi </v>
      </c>
      <c r="M13" s="292"/>
      <c r="N13" s="119"/>
      <c r="O13" s="81"/>
      <c r="P13" s="81"/>
      <c r="Q13" s="91"/>
      <c r="S13" s="114" t="s">
        <v>51</v>
      </c>
      <c r="T13" s="242"/>
      <c r="U13" s="277"/>
      <c r="V13" s="291"/>
      <c r="W13" s="242">
        <v>1800</v>
      </c>
      <c r="X13" s="277" t="str">
        <f>IF(INT(W13/600)&gt;=1,INT(W13/600)&amp;" thùng + "&amp;MOD(W13,600)/100&amp;" túi ",VALUE(W13/100)&amp;"túi")</f>
        <v xml:space="preserve">3 thùng + 0 túi </v>
      </c>
      <c r="Y13" s="291"/>
      <c r="Z13" s="244">
        <v>700</v>
      </c>
      <c r="AA13" s="277" t="str">
        <f>IF(INT(Z13/600)&gt;=1,INT(Z13/600)&amp;" thùng + "&amp;MOD(Z13,600)&amp;" cái ",VALUE(Z13)&amp;"cái")</f>
        <v xml:space="preserve">1 thùng + 100 cái </v>
      </c>
      <c r="AB13" s="398"/>
      <c r="AC13" s="423"/>
      <c r="AD13" s="112" t="s">
        <v>51</v>
      </c>
      <c r="AE13" s="330"/>
      <c r="AF13" s="277" t="str">
        <f>IF(INT(AE13/600)&gt;=1,INT(AE13/600)&amp;" thùng + "&amp;MOD(AE13,600)&amp;" cái ",VALUE(AE13/100)&amp;"túi")</f>
        <v>0túi</v>
      </c>
      <c r="AG13" s="293"/>
      <c r="AH13" s="242">
        <v>400</v>
      </c>
      <c r="AI13" s="277" t="str">
        <f>IF(INT(AH13/600)&gt;=1,INT(AH13/600)&amp;" thùng + "&amp;MOD(AH13,600)/100&amp;" túi ",VALUE(AH13/100)&amp;"túi")</f>
        <v>4túi</v>
      </c>
      <c r="AJ13" s="291"/>
      <c r="AK13" s="227"/>
      <c r="AL13" s="91"/>
      <c r="AM13" s="430"/>
      <c r="AN13" s="114" t="s">
        <v>51</v>
      </c>
      <c r="AO13" s="242"/>
      <c r="AP13" s="279"/>
      <c r="AQ13" s="293"/>
      <c r="AR13" s="242"/>
      <c r="AS13" s="279"/>
      <c r="AT13" s="293"/>
      <c r="AU13" s="242"/>
      <c r="AV13" s="279"/>
      <c r="AW13" s="298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880</v>
      </c>
      <c r="L14" s="278" t="str">
        <f>IF(INT(K14/400)&gt;=1,INT(K14/400)&amp;" thùng + "&amp;MOD(K14,400)/100&amp;" túi ",VALUE(K14/100)&amp;"túi")</f>
        <v xml:space="preserve">2 thùng + 0.8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1800</v>
      </c>
      <c r="X14" s="278" t="str">
        <f>IF(INT(W14/400)&gt;=1,INT(W14/400)&amp;" thùng + "&amp;MOD(W14,400)/100&amp;" túi ",VALUE(W14/100)&amp;"túi")</f>
        <v xml:space="preserve">4 thùng + 2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/>
      <c r="AF14" s="277" t="str">
        <f>IF(INT(AE14/600)&gt;=1,INT(AE14/600)&amp;" thùng + "&amp;MOD(AE14,600)&amp;" cái ",VALUE(AE14/100)&amp;"túi")</f>
        <v>0túi</v>
      </c>
      <c r="AG14" s="294"/>
      <c r="AH14" s="244">
        <v>400</v>
      </c>
      <c r="AI14" s="278" t="str">
        <f>IF(INT(AH14/400)&gt;=1,INT(AH14/400)&amp;" thùng + "&amp;MOD(AH14,400)/100&amp;" túi ",VALUE(AH14/100)&amp;"túi")</f>
        <v xml:space="preserve">1 thùng + 0 túi 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880</v>
      </c>
      <c r="L15" s="278" t="str">
        <f>IF(INT(K15/600)&gt;=1,INT(K15/600)&amp;" thùng + "&amp;MOD(K15,600)/100&amp;" túi ",VALUE(K15/100)&amp;"túi")</f>
        <v xml:space="preserve">1 thùng + 2.8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1800</v>
      </c>
      <c r="X15" s="277" t="str">
        <f>IF(INT(W15/600)&gt;=1,INT(W15/600)&amp;" thùng + "&amp;MOD(W15,600)/100&amp;" túi ",VALUE(W15/100)&amp;"túi")</f>
        <v xml:space="preserve">3 thùng + 0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/>
      <c r="AF15" s="277" t="str">
        <f>IF(INT(AE15/600)&gt;=1,INT(AE15/600)&amp;" thùng + "&amp;MOD(AE15,600)&amp;" cái ",VALUE(AE15/100)&amp;"túi")</f>
        <v>0túi</v>
      </c>
      <c r="AG15" s="293"/>
      <c r="AH15" s="242">
        <v>400</v>
      </c>
      <c r="AI15" s="277" t="str">
        <f>IF(INT(AH15/600)&gt;=1,INT(AH15/600)&amp;" thùng + "&amp;MOD(AH15,600)/100&amp;" túi ",VALUE(AH15/100)&amp;"túi")</f>
        <v>4túi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880</v>
      </c>
      <c r="L16" s="278" t="str">
        <f>IF(INT(K16/400)&gt;=1,INT(K16/400)&amp;" thùng + "&amp;MOD(K16,400)/100&amp;" túi ",VALUE(K16/100)&amp;"túi")</f>
        <v xml:space="preserve">2 thùng + 0.8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1800</v>
      </c>
      <c r="X16" s="278" t="str">
        <f>IF(INT(W16/400)&gt;=1,INT(W16/400)&amp;" thùng + "&amp;MOD(W16,400)/100&amp;" túi ",VALUE(W16/100)&amp;"túi")</f>
        <v xml:space="preserve">4 thùng + 2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/>
      <c r="AF16" s="277" t="str">
        <f>IF(INT(AE16/600)&gt;=1,INT(AE16/600)&amp;" thùng + "&amp;MOD(AE16,600)&amp;" cái ",VALUE(AE16/100)&amp;"túi")</f>
        <v>0túi</v>
      </c>
      <c r="AG16" s="294"/>
      <c r="AH16" s="244">
        <v>400</v>
      </c>
      <c r="AI16" s="278" t="str">
        <f>IF(INT(AH16/400)&gt;=1,INT(AH16/400)&amp;" thùng + "&amp;MOD(AH16,400)/100&amp;" túi ",VALUE(AH16/100)&amp;"túi")</f>
        <v xml:space="preserve">1 thùng + 0 túi 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880</v>
      </c>
      <c r="L17" s="277" t="str">
        <f>IF(INT(K17/200)&gt;=1,INT(K17/200)&amp;" thùng + "&amp;MOD(K17,200)/50&amp;" túi ",VALUE(K17/50)&amp;"túi")</f>
        <v xml:space="preserve">4 thùng + 1.6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1000</v>
      </c>
      <c r="X17" s="277" t="str">
        <f>IF(INT(W17/200)&gt;=1,INT(W17/200)&amp;" thùng + "&amp;MOD(W17,200)/50&amp;" túi ",VALUE(W17/50)&amp;"túi")</f>
        <v xml:space="preserve">5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/>
      <c r="AF17" s="277" t="str">
        <f>IF(INT(AE17/200)&gt;=1,INT(AE17/200)&amp;" thùng + "&amp;MOD(AE17,200)/50&amp;" túi",VALUE(AE17/50)&amp;"túi")</f>
        <v>0túi</v>
      </c>
      <c r="AG17" s="293"/>
      <c r="AH17" s="244">
        <v>400</v>
      </c>
      <c r="AI17" s="277" t="str">
        <f>IF(INT(AH17/200)&gt;=1,INT(AH17/200)&amp;" thùng + "&amp;MOD(AH17,200)/50&amp;" túi ",VALUE(AH17/50)&amp;"túi")</f>
        <v xml:space="preserve">2 thùng + 0 túi </v>
      </c>
      <c r="AJ17" s="291"/>
      <c r="AK17" s="227"/>
      <c r="AL17" s="91"/>
      <c r="AM17" s="430"/>
      <c r="AN17" s="117" t="s">
        <v>74</v>
      </c>
      <c r="AO17" s="242">
        <v>500</v>
      </c>
      <c r="AP17" s="277" t="str">
        <f>IF(INT(AO17/200)&gt;=1,INT(AO17/200)&amp;" thùng + "&amp;MOD(AO17,200)/50&amp;" túi",VALUE(AO17/50)&amp;"túi")</f>
        <v>2 thùng + 2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>
        <v>900</v>
      </c>
      <c r="C18" s="277" t="str">
        <f>IF(INT(B18/1200)&gt;=1,INT(B18/1200)&amp;" thùng + "&amp;MOD(B18,1200)/100&amp;" túi ",VALUE(B18/100)&amp;"túi")</f>
        <v>9túi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880</v>
      </c>
      <c r="L18" s="278" t="str">
        <f>IF(INT(K18/1200)&gt;=1,INT(K18/1200)&amp;" thùng + "&amp;MOD(K18,1200)/100&amp;" túi ",VALUE(K18/100)&amp;"túi")</f>
        <v>8.8túi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800</v>
      </c>
      <c r="X18" s="278" t="str">
        <f>IF(INT(W18/200)&gt;=1,INT(W18/200)&amp;" thùng + "&amp;MOD(W18,200)/50&amp;" túi ",VALUE(W18/50)&amp;"túi")</f>
        <v xml:space="preserve">4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800</v>
      </c>
      <c r="AF18" s="278" t="str">
        <f>IF(INT(AE18/1200)&gt;=1,INT(AE18/1200)&amp;" thùng + "&amp;MOD(AE18,1200)/100&amp;" túi ",VALUE(AE18/100)&amp;"túi")</f>
        <v>8túi</v>
      </c>
      <c r="AG18" s="292"/>
      <c r="AH18" s="244">
        <v>380</v>
      </c>
      <c r="AI18" s="277" t="str">
        <f>IF(INT(AH18/600)&gt;=1,INT(AH18/600)&amp;" thùng + "&amp;MOD(AH18,600)&amp;" cái ",VALUE(AH18/100)&amp;"túi")</f>
        <v>3.8túi</v>
      </c>
      <c r="AJ18" s="292"/>
      <c r="AK18" s="246"/>
      <c r="AL18" s="102"/>
      <c r="AM18" s="417"/>
      <c r="AN18" s="103" t="s">
        <v>81</v>
      </c>
      <c r="AO18" s="441">
        <v>100</v>
      </c>
      <c r="AP18" s="278" t="str">
        <f>IF(INT(AO18/1200)&gt;=1,INT(AO18/1200)&amp;" thùng + "&amp;MOD(AO18,1200)/100&amp;" túi ",VALUE(AO18/100)&amp;"túi")</f>
        <v>1túi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18000</v>
      </c>
      <c r="G19" s="277" t="str">
        <f>IF(INT(F19/4000)&gt;=1,INT(F19/4000)&amp;" thùng + "&amp;MOD(F19,4000)/100&amp;" túi ",VALUE(F19/100)&amp;"túi")</f>
        <v xml:space="preserve">4 thùng + 20 túi </v>
      </c>
      <c r="H19" s="346"/>
      <c r="J19" s="234" t="s">
        <v>113</v>
      </c>
      <c r="K19" s="242">
        <v>18540</v>
      </c>
      <c r="L19" s="277" t="str">
        <f>IF(INT(K19/4000)&gt;=1,INT(K19/4000)&amp;" thùng + "&amp;MOD(K19,4000)/100&amp;" túi ",VALUE(K19/100)&amp;"túi")</f>
        <v xml:space="preserve">4 thùng + 25.4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8000</v>
      </c>
      <c r="X19" s="277" t="str">
        <f>IF(INT(W19/4000)&gt;=1,INT(W19/4000)&amp;" thùng + "&amp;MOD(W19,4000)&amp;" cái ",VALUE(W19/100)&amp;"túi")</f>
        <v xml:space="preserve">2 thùng + 0 cái </v>
      </c>
      <c r="Y19" s="291"/>
      <c r="Z19" s="244">
        <v>9980</v>
      </c>
      <c r="AA19" s="278" t="str">
        <f>IF(INT(Z19/4000)&gt;=1,INT(Z19/4000)&amp;" thùng + "&amp;MOD(Z19,4000)/100&amp;" túi ",VALUE(Z19/100)&amp;"túi")</f>
        <v xml:space="preserve">2 thùng + 19.8 túi </v>
      </c>
      <c r="AB19" s="399"/>
      <c r="AC19" s="423"/>
      <c r="AD19" s="412" t="s">
        <v>113</v>
      </c>
      <c r="AE19" s="242"/>
      <c r="AF19" s="277" t="str">
        <f>IF(INT(AE19/4000)&gt;=1,INT(AE19/4000)&amp;" thùng + "&amp;MOD(AE19,4000)&amp;" cái ",VALUE(AE19/100)&amp;"túi")</f>
        <v>0túi</v>
      </c>
      <c r="AG19" s="293"/>
      <c r="AH19" s="242">
        <v>2800</v>
      </c>
      <c r="AI19" s="277" t="str">
        <f>IF(INT(AH19/4000)&gt;=1,INT(AH19/4000)&amp;" thùng + "&amp;MOD(AH19,4000)&amp;" cái ",VALUE(AH19/100)&amp;"túi")</f>
        <v>28túi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1000</v>
      </c>
      <c r="AS19" s="277" t="str">
        <f>IF(INT(AR19/4000)&gt;=1,INT(AR19/4000)&amp;" thùng + "&amp;MOD(AR19,4000)&amp;" cái ",VALUE(AR19/100)&amp;"túi")</f>
        <v>10túi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580</v>
      </c>
      <c r="L20" s="278" t="str">
        <f>IF(INT(K20/2000)&gt;=1,INT(K20/2000)&amp;" thùng + "&amp;MOD(K20,2000)/100&amp;" túi ",VALUE(K20/100)&amp;"túi")</f>
        <v>5.8túi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800</v>
      </c>
      <c r="AI20" s="278" t="str">
        <f>IF(INT(AH20/2000)&gt;=1,INT(AH20/2000)&amp;" thùng + "&amp;MOD(AH20,2000)/100&amp;" túi ",VALUE(AH20/100)&amp;"túi")</f>
        <v>8túi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340</v>
      </c>
      <c r="AA21" s="278" t="str">
        <f>IF(INT(Z21/400)&gt;=1,INT(Z21/400)&amp;" thùng + "&amp;MOD(Z21,400)/100&amp;" túi ",VALUE(Z21/100)&amp;"túi")</f>
        <v>3.4túi</v>
      </c>
      <c r="AB21" s="398"/>
      <c r="AC21" s="423"/>
      <c r="AD21" s="116" t="s">
        <v>56</v>
      </c>
      <c r="AE21" s="250"/>
      <c r="AF21" s="286"/>
      <c r="AG21" s="305"/>
      <c r="AH21" s="250">
        <v>800</v>
      </c>
      <c r="AI21" s="277" t="str">
        <f>IF(INT(AH21/100)&gt;=1,INT(AH21/100)&amp;" thùng + "&amp;MOD(AH21,100)/100&amp;" túi ",VALUE(AH21/100)&amp;"túi")</f>
        <v xml:space="preserve">8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/>
      <c r="X22" s="278" t="str">
        <f>IF(INT(W22/300)&gt;=1,INT(W22/300)&amp;" thùng + "&amp;MOD(W22,300)/100&amp;" túi ",VALUE(W22/100)&amp;"túi")</f>
        <v>0túi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800</v>
      </c>
      <c r="AI22" s="278" t="str">
        <f>IF(INT(AH22/100)&gt;=1,INT(AH22/100)&amp;" thùng + "&amp;MOD(AH22,100)/100&amp;" túi ",VALUE(AH22/100)&amp;"túi")</f>
        <v xml:space="preserve">8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1400</v>
      </c>
      <c r="U23" s="277" t="str">
        <f>IF(INT(T23/600)&gt;=1,INT(T23/600)&amp;" thùng + "&amp;MOD(T23,600)/100&amp;" túi ",VALUE(T23/100)&amp;"túi")</f>
        <v xml:space="preserve">2 thùng + 2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340</v>
      </c>
      <c r="AA23" s="277" t="str">
        <f>IF(INT(Z23/600)&gt;=1,INT(Z23/600)&amp;" thùng + "&amp;MOD(Z23,600)/100&amp;" túi ",VALUE(Z23/100)&amp;"túi")</f>
        <v>3.4túi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100</v>
      </c>
      <c r="AS23" s="277" t="str">
        <f>IF(INT(AR23/400)&gt;=1,INT(AR23/400)&amp;" thùng + "&amp;MOD(AR23,400)&amp;" cái ",VALUE(AR23)&amp;"cái")</f>
        <v>100cái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1400</v>
      </c>
      <c r="L24" s="277" t="str">
        <f>IF(INT(K24/600)&gt;=1,INT(K24/600)&amp;" thùng + "&amp;MOD(K24,600)/100&amp;" túi ",VALUE(K24/100)&amp;"túi")</f>
        <v xml:space="preserve">2 thùng + 2 túi </v>
      </c>
      <c r="M24" s="291"/>
      <c r="N24" s="71"/>
      <c r="O24" s="246"/>
      <c r="P24" s="123"/>
      <c r="Q24" s="130"/>
      <c r="S24" s="103" t="s">
        <v>60</v>
      </c>
      <c r="T24" s="244">
        <v>1400</v>
      </c>
      <c r="U24" s="277" t="str">
        <f>IF(INT(T24/500)&gt;=1,INT(T24/500)&amp;" thùng + "&amp;MOD(T24,500)/100&amp;" túi ",VALUE(T24/100)&amp;"túi")</f>
        <v xml:space="preserve">2 thùng + 4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340</v>
      </c>
      <c r="AA24" s="277" t="str">
        <f>IF(INT(Z24/500)&gt;=1,INT(Z24/500)&amp;" thùng + "&amp;MOD(Z24,500)/100&amp;" túi ",VALUE(Z24/100)&amp;"túi")</f>
        <v>3.4túi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100</v>
      </c>
      <c r="AS24" s="277" t="str">
        <f>IF(INT(AR24/250)&gt;=1,INT(AR24/250)&amp;" thùng + "&amp;MOD(AR24,250)&amp;" cái ",VALUE(AR24)&amp;"cái")</f>
        <v>100cái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 t="s">
        <v>408</v>
      </c>
      <c r="C26" s="277" t="e">
        <f>IF(INT(B26/4000)&gt;=1,INT(B26/4000)&amp;" thùng + "&amp;MOD(B26,4000)/100&amp;" túi ",VALUE(B26/100)&amp;"túi")</f>
        <v>#VALUE!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 t="s">
        <v>409</v>
      </c>
      <c r="U26" s="278" t="e">
        <f>IF(INT(T26/4000)&gt;=1,INT(T26/4000)&amp;" thùng + "&amp;MOD(T26,4000)/100&amp;" túi ",VALUE(T26/100)&amp;"túi")</f>
        <v>#VALUE!</v>
      </c>
      <c r="V26" s="291"/>
      <c r="W26" s="244">
        <v>3460</v>
      </c>
      <c r="X26" s="278" t="str">
        <f>IF(INT(W26/4000)&gt;=1,INT(W26/4000)&amp;" thùng + "&amp;MOD(W26,4000)/100&amp;" túi ",VALUE(W26/100)&amp;"túi")</f>
        <v>34.6túi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800</v>
      </c>
      <c r="AF26" s="288" t="str">
        <f>IF(INT(AE26/4000)&gt;=1,INT(AE26/4000)&amp;" thùng + "&amp;MOD(AE26,4000)/100&amp;" túi ",VALUE(AE26/100)&amp;"túi")</f>
        <v>8túi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300</v>
      </c>
      <c r="AS26" s="385" t="str">
        <f>IF(INT(AR26/4000)&gt;=1,INT(AR26/4000)&amp;" thùng + "&amp;MOD(AR26,4000)/100&amp;" túi ",VALUE(AR26/100)&amp;"túi")</f>
        <v>3túi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590</v>
      </c>
      <c r="L27" s="363" t="str">
        <f>IF(INT(K27/50)&gt;=1,INT(K27/50)&amp;" thùng + "&amp;MOD(K27,50)&amp;" cái ",VALUE(K27/50)&amp;"cái")</f>
        <v xml:space="preserve">11 thùng + 40 cái </v>
      </c>
      <c r="M27" s="293"/>
      <c r="N27" s="81" t="s">
        <v>9</v>
      </c>
      <c r="O27" s="242">
        <v>1400</v>
      </c>
      <c r="P27" s="363" t="str">
        <f>IF(INT(O27/50)&gt;=1,INT(O27/50)&amp;" thùng + "&amp;MOD(O27,50)&amp;" cái ",VALUE(O27/50)&amp;"cái")</f>
        <v xml:space="preserve">28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680</v>
      </c>
      <c r="AA27" s="278" t="str">
        <f>IF(INT(Z27/400)&gt;=1,INT(Z27/400)&amp;" thùng + "&amp;MOD(Z27,400)/100&amp;" túi ",VALUE(Z27/100)&amp;"túi")</f>
        <v xml:space="preserve">1 thùng + 2.8 túi </v>
      </c>
      <c r="AB27" s="398"/>
      <c r="AC27" s="423"/>
      <c r="AD27" s="116" t="s">
        <v>9</v>
      </c>
      <c r="AE27" s="250"/>
      <c r="AF27" s="363" t="str">
        <f>IF(INT(AE27/50)&gt;=1,INT(AE27/50)&amp;" thùng + "&amp;MOD(AE27,50)&amp;" cái ",VALUE(AE27/50)&amp;"cái")</f>
        <v>0cái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/>
      <c r="AS27" s="278" t="str">
        <f t="shared" ref="AS27" si="6">IF(INT(AR27/2000)&gt;=1,INT(AR27/2000)&amp;" thùng + "&amp;MOD(AR27,2000)/100&amp;" túi ",VALUE(AR27/100)&amp;"túi")</f>
        <v>0túi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/>
      <c r="AA28" s="278" t="str">
        <f>IF(INT(Z28/1000)&gt;=1,INT(Z28/1000)&amp;" thùng + "&amp;MOD(Z28,1000)/100&amp;" túi ",VALUE(Z28/100)&amp;"túi")</f>
        <v>0túi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>
        <v>900</v>
      </c>
      <c r="AS28" s="385" t="str">
        <f>IF(INT(AR28/1000)&gt;=1,INT(AR28/1000)&amp;" thùng + "&amp;MOD(AR28,1000)/100&amp;" túi ",VALUE(AR28/100)&amp;"túi")</f>
        <v>9túi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295</v>
      </c>
      <c r="L29" s="363" t="str">
        <f>IF(INT(K29/20)&gt;=1,INT(K29/20)&amp;" thùng + "&amp;MOD(K29,20)&amp;" cái ",VALUE(K29/20)&amp;"cái")</f>
        <v xml:space="preserve">14 thùng + 15 cái </v>
      </c>
      <c r="M29" s="293"/>
      <c r="N29" s="71" t="s">
        <v>89</v>
      </c>
      <c r="O29" s="326">
        <v>700</v>
      </c>
      <c r="P29" s="363" t="str">
        <f>IF(INT(O29/20)&gt;=1,INT(O29/20)&amp;" thùng + "&amp;MOD(O29,20)&amp;" cái ",VALUE(O29/20)&amp;"cái")</f>
        <v xml:space="preserve">35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340</v>
      </c>
      <c r="AA29" s="278" t="str">
        <f>IF(INT(Z29/200)&gt;=1,INT(Z29/200)&amp;" thùng + "&amp;MOD(Z29,200)/50&amp;" túi ",VALUE(Z29/50)&amp;"túi")</f>
        <v xml:space="preserve">1 thùng + 2.8 túi </v>
      </c>
      <c r="AB29" s="398"/>
      <c r="AC29" s="423"/>
      <c r="AD29" s="112" t="s">
        <v>53</v>
      </c>
      <c r="AE29" s="250"/>
      <c r="AF29" s="278" t="str">
        <f>IF(INT(AE29/100)&gt;=1,INT(AE29/100)&amp;" thùng + "&amp;MOD(AE29,100)/100&amp;" túi ",VALUE(AE29/100)&amp;"túi")</f>
        <v>0túi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800</v>
      </c>
      <c r="L30" s="363" t="str">
        <f>IF(INT(K30/100)&gt;=1,INT(K30/100)&amp;" thùng + "&amp;MOD(K30,100)&amp;" cái ",VALUE(K30/100)&amp;"cái")</f>
        <v xml:space="preserve">8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/>
      <c r="AF30" s="278" t="str">
        <f>IF(INT(AE30/2000)&gt;=1,INT(AE30/2000)&amp;" thùng + "&amp;MOD(AE30,2000)/100&amp;" túi ",VALUE(AE30/100)&amp;"túi")</f>
        <v>0túi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/>
      <c r="AS30" s="278" t="str">
        <f t="shared" ref="AS30" si="7">IF(INT(AR30/2000)&gt;=1,INT(AR30/2000)&amp;" thùng + "&amp;MOD(AR30,2000)/100&amp;" túi ",VALUE(AR30/100)&amp;"túi")</f>
        <v>0túi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360</v>
      </c>
      <c r="AA31" s="363" t="str">
        <f>IF(INT(Z31/20)&gt;=1,INT(Z31/20)&amp;" thùng + "&amp;MOD(Z31,20)&amp;" cái ",VALUE(Z31/20)&amp;"cái")</f>
        <v xml:space="preserve">18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>
        <v>200</v>
      </c>
      <c r="AP31" s="278" t="str">
        <f>IF(INT(AO31/100)&gt;=1,INT(AO31/100)&amp;" thùng + "&amp;MOD(AO31,100)/100&amp;" túi ",VALUE(AO31/100)&amp;"túi")</f>
        <v xml:space="preserve">2 thùng + 0 túi 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800</v>
      </c>
      <c r="L32" s="363" t="str">
        <f>IF(INT(K32/100)&gt;=1,INT(K32/100)&amp;" thùng + "&amp;MOD(K32,100)&amp;" cái ",VALUE(K32/100)&amp;"cái")</f>
        <v xml:space="preserve">8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360</v>
      </c>
      <c r="AA32" s="278" t="str">
        <f>IF(INT(Z32/200)&gt;=1,INT(Z32/200)&amp;" thùng + "&amp;MOD(Z32,200)/20&amp;" túi ",VALUE(Z32)&amp;"cái")</f>
        <v xml:space="preserve">1 thùng + 8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145</v>
      </c>
      <c r="L33" s="363" t="str">
        <f>IF(INT(K33/20)&gt;=1,INT(K33/20)&amp;" thùng + "&amp;MOD(K33,20)&amp;" cái ",VALUE(K33/20)&amp;"cái")</f>
        <v xml:space="preserve">7 thùng + 5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2000</v>
      </c>
      <c r="X33" s="278" t="str">
        <f>IF(INT(W33/300)&gt;=1,INT(W33/300)&amp;" thùng + "&amp;MOD(W33,300)/100&amp;" túi ",VALUE(W33/100)&amp;"túi")</f>
        <v xml:space="preserve">6 thùng + 2 túi </v>
      </c>
      <c r="Y33" s="293"/>
      <c r="Z33" s="244"/>
      <c r="AA33" s="278" t="str">
        <f>IF(INT(Z33/300)&gt;=1,INT(Z33/300)&amp;" thùng + "&amp;MOD(Z33,300)/100&amp;" túi ",VALUE(Z33/100)&amp;"túi")</f>
        <v>0túi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 t="s">
        <v>387</v>
      </c>
      <c r="AS33" s="278" t="e">
        <f>IF(INT(AR33/4000)&gt;=1,INT(AR33/4000)&amp;" thùng + "&amp;MOD(AR33,4000)/100&amp;" túi ",VALUE(AR33/100)&amp;"túi")</f>
        <v>#VALUE!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600</v>
      </c>
      <c r="G34" s="363" t="str">
        <f>IF(INT(F34/25)&gt;=1,INT(F34/25)&amp;" thùng + "&amp;MOD(F34,25)&amp;" cái ",VALUE(F34/25)&amp;"cái")</f>
        <v xml:space="preserve">24 thùng + 0 cái </v>
      </c>
      <c r="H34" s="353"/>
      <c r="J34" s="206" t="s">
        <v>79</v>
      </c>
      <c r="K34" s="326">
        <v>590</v>
      </c>
      <c r="L34" s="277" t="str">
        <f>IF(INT(K34/1000)&gt;=1,INT(K34/1000)&amp;" thùng + "&amp;MOD(K34,1000)/100&amp;" túi ",VALUE(K34/100)&amp;"túi")</f>
        <v>5.9túi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1000</v>
      </c>
      <c r="X34" s="278" t="str">
        <f>IF(INT(W34/1000)&gt;=1,INT(W34/1000)&amp;" thùng + "&amp;MOD(W34,1000)/100&amp;" túi ",VALUE(W34/100)&amp;"túi")</f>
        <v xml:space="preserve">1 thùng + 0 túi 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680</v>
      </c>
      <c r="AA35" s="278" t="str">
        <f>IF(INT(Z35/4000)&gt;=1,INT(Z35/4000)&amp;" thùng + "&amp;MOD(Z35,4000)/100&amp;" túi ",VALUE(Z35/100)&amp;"túi")</f>
        <v>6.8túi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1200</v>
      </c>
      <c r="C36" s="277" t="str">
        <f>IF(INT(B36/500)&gt;=1,INT(B36/500)&amp;" thùng + "&amp;MOD(B36,500)/100&amp;" túi ",VALUE(B36/100)&amp;"túi")</f>
        <v xml:space="preserve">2 thùng + 2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680</v>
      </c>
      <c r="AA36" s="277" t="str">
        <f>IF(INT(Z36/50)&gt;=1,INT(Z36/50)&amp;" thùng + "&amp;MOD(Z36,50)&amp;" cái ",VALUE(Z36)&amp;"cái")</f>
        <v xml:space="preserve">13 thùng + 30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340</v>
      </c>
      <c r="AA37" s="277" t="str">
        <f>IF(INT(Z37/1000)&gt;=1,INT(Z37/1000)&amp;" thùng + "&amp;MOD(Z37,1000)/100&amp;" túi ",VALUE(Z37/100)&amp;"túi")</f>
        <v>3.4túi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1360</v>
      </c>
      <c r="AA38" s="278" t="str">
        <f>IF(INT(Z38/3000)&gt;=1,INT(Z38/3000)&amp;" thùng + "&amp;MOD(Z38,3000)/100&amp;" túi ",VALUE(Z38/100)&amp;"túi")</f>
        <v>13.6túi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340</v>
      </c>
      <c r="AA39" s="278" t="str">
        <f t="shared" ref="AA39" si="9">IF(INT(Z39/2000)&gt;=1,INT(Z39/2000)&amp;" thùng + "&amp;MOD(Z39,2000)/100&amp;" túi ",VALUE(Z39/100)&amp;"túi")</f>
        <v>3.4túi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360</v>
      </c>
      <c r="AA41" s="277" t="str">
        <f>IF(INT(Z41/100)&gt;=1,INT(Z41/100)&amp;" thùng + "&amp;MOD(Z41,100)/50&amp;" túi ",VALUE(Z41)&amp;"cái")</f>
        <v xml:space="preserve">3 thùng + 1.2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720</v>
      </c>
      <c r="AA42" s="278" t="str">
        <f>IF(INT(Z42/3000)&gt;=1,INT(Z42/3000)&amp;" thùng + "&amp;MOD(Z42,3000)/100&amp;" túi ",VALUE(Z42/100)&amp;"túi")</f>
        <v>7.2túi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360</v>
      </c>
      <c r="AA43" s="277" t="str">
        <f>IF(INT(Z43/1000)&gt;=1,INT(Z43/1000)&amp;" thùng + "&amp;MOD(Z43,1000)/100&amp;" túi ",VALUE(Z43/100)&amp;"túi")</f>
        <v>3.6túi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360</v>
      </c>
      <c r="AA44" s="278" t="str">
        <f>IF(INT(Z44/4000)&gt;=1,INT(Z44/4000)&amp;" thùng + "&amp;MOD(Z44,4000)/100&amp;" túi ",VALUE(Z44/100)&amp;"túi")</f>
        <v>3.6túi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/>
      <c r="X45" s="277" t="str">
        <f>IF(INT(W45/400)&gt;=1,INT(W45/400)&amp;" thùng + "&amp;MOD(W45,400)/100&amp;" túi ",VALUE(W45)&amp;"cái")</f>
        <v>0cái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/>
      <c r="X46" s="278" t="str">
        <f>IF(INT(W46/100)&gt;=1,INT(W46/100)&amp;" thùng + "&amp;MOD(W46,100)/100&amp;" túi ",VALUE(W46)&amp;"cái")</f>
        <v>0cái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1000</v>
      </c>
      <c r="X47" s="278" t="str">
        <f>IF(INT(W47/50)&gt;=1,INT(W47/50)&amp;" thùng + "&amp;MOD(W47,50)/10&amp;" túi ",VALUE(W47/10)&amp;"túi")</f>
        <v xml:space="preserve">20 thùng + 0 túi </v>
      </c>
      <c r="Y47" s="291"/>
      <c r="Z47" s="244"/>
      <c r="AA47" s="278" t="str">
        <f>IF(INT(Z47/50)&gt;=1,INT(Z47/50)&amp;" thùng + "&amp;MOD(Z47,50)/10&amp;" túi ",VALUE(Z47/10)&amp;"túi")</f>
        <v>0túi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>
        <v>300</v>
      </c>
      <c r="AS47" s="278" t="str">
        <f>IF(INT(AR47/50)&gt;=1,INT(AR47/50)&amp;" thùng + "&amp;MOD(AR47,50)/10&amp;" túi ",VALUE(AR47/10)&amp;"túi")</f>
        <v xml:space="preserve">6 thùng + 0 túi 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1600</v>
      </c>
      <c r="X48" s="278" t="str">
        <f>IF(INT(W48/100)&gt;=1,INT(W48/100)&amp;" thùng + "&amp;MOD(W48,100)/100&amp;" túi ",VALUE(W48)&amp;"cái")</f>
        <v xml:space="preserve">16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400</v>
      </c>
      <c r="X49" s="277" t="str">
        <f>IF(INT(W49/600)&gt;=1,INT(W49/600)&amp;" thùng + "&amp;MOD(W49,600)/20&amp;" túi ",VALUE(W49)&amp;"cái")</f>
        <v>400cái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/>
      <c r="AF50" s="277" t="str">
        <f>IF(INT(AE50/100)&gt;=1,INT(AE50/100)&amp;" thùng + "&amp;MOD(AE50,100)/100&amp;" túi ",VALUE(AE50/100)&amp;"túi")</f>
        <v>0túi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200</v>
      </c>
      <c r="AS53" s="363" t="str">
        <f>IF(INT(AR53/100)&gt;=1,INT(AR53/100)&amp;" thùng + "&amp;MOD(AR53,100)&amp;" cái ",VALUE(AR53/100)&amp;"cái")</f>
        <v xml:space="preserve">2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800</v>
      </c>
      <c r="AP54" s="389" t="str">
        <f>IF(INT(AO54/3000)&gt;=1,INT(AO54/3000)&amp;" thùng + "&amp;MOD(AO54,3000)/100&amp;" túi ",VALUE(AO54/100)&amp;"túi")</f>
        <v>8túi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  <mergeCell ref="A6:A7"/>
    <mergeCell ref="B6:D6"/>
    <mergeCell ref="E6:E7"/>
    <mergeCell ref="F6:H6"/>
    <mergeCell ref="K6:M6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O4:AP4"/>
    <mergeCell ref="A5:C5"/>
    <mergeCell ref="J5:L5"/>
    <mergeCell ref="S5:U5"/>
    <mergeCell ref="AD5:AF5"/>
    <mergeCell ref="AN5:AP5"/>
    <mergeCell ref="A1:G1"/>
    <mergeCell ref="J1:P1"/>
    <mergeCell ref="S1:AA1"/>
    <mergeCell ref="AD1:AL1"/>
    <mergeCell ref="AO1:AW1"/>
    <mergeCell ref="D2:H2"/>
    <mergeCell ref="M2:Q2"/>
    <mergeCell ref="W2:AB2"/>
    <mergeCell ref="AH2:AL2"/>
    <mergeCell ref="AR2:AW2"/>
  </mergeCells>
  <pageMargins left="0.35" right="0.19" top="0.27559055118110198" bottom="0.27559055118110198" header="0.2" footer="0.196850393700787"/>
  <pageSetup paperSize="9"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85"/>
  <sheetViews>
    <sheetView workbookViewId="0">
      <selection activeCell="B18" sqref="B18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823"/>
      <c r="G1" s="822"/>
      <c r="H1" s="978" t="s">
        <v>268</v>
      </c>
      <c r="I1" s="979"/>
      <c r="J1" s="979"/>
      <c r="K1" s="979"/>
      <c r="L1" s="980"/>
    </row>
    <row r="2" spans="1:12" ht="26.25" customHeight="1">
      <c r="A2" s="4" t="s">
        <v>407</v>
      </c>
      <c r="B2" s="141"/>
      <c r="C2" s="5"/>
      <c r="D2" s="1033" t="s">
        <v>260</v>
      </c>
      <c r="E2" s="1033"/>
      <c r="F2" s="1034"/>
      <c r="G2" s="830"/>
      <c r="H2" s="440" t="str">
        <f>A2</f>
        <v>Ngày 30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831">
        <v>4</v>
      </c>
      <c r="J3" s="831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831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824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1400</v>
      </c>
      <c r="C10" s="278" t="str">
        <f>IF(INT(B10/600)&gt;=1,INT(B10/600)&amp;" thùng + "&amp;MOD(B10,600)/100&amp;" túi ",VALUE(B10/100)&amp;"túi")</f>
        <v xml:space="preserve">2 thùng + 2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1400</v>
      </c>
      <c r="C11" s="278" t="str">
        <f>IF(INT(B11/400)&gt;=1,INT(B11/400)&amp;" thùng + "&amp;MOD(B11,400)/100&amp;" túi",VALUE(B11/100)&amp;"túi")</f>
        <v>3 thùng + 2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1400</v>
      </c>
      <c r="C12" s="278" t="str">
        <f>IF(INT(B12/600)&gt;=1,INT(B12/600)&amp;" thùng + "&amp;MOD(B12,600)/100&amp;" túi ",VALUE(B12/100)&amp;"túi")</f>
        <v xml:space="preserve">2 thùng + 2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1400</v>
      </c>
      <c r="C13" s="278" t="str">
        <f>IF(INT(B13/400)&gt;=1,INT(B13/400)&amp;" thùng + "&amp;MOD(B13,400)/100&amp;" túi",VALUE(B13/100)&amp;"túi")</f>
        <v>3 thùng + 2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1400</v>
      </c>
      <c r="C14" s="278" t="str">
        <f>IF(INT(B14/200)&gt;=1,INT(B14/200)&amp;" thùng + "&amp;MOD(B14,200)/50&amp;" túi",VALUE(B14/50)&amp;"túi")</f>
        <v>7 thùng + 0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14400</v>
      </c>
      <c r="C17" s="278" t="str">
        <f>IF(INT(B17/4000)&gt;=1,INT(B17/4000)&amp;" thùng + "&amp;MOD(B17,4000)&amp;" cái ",VALUE(B17/100)&amp;"túi")</f>
        <v xml:space="preserve">3 thùng + 2400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600</v>
      </c>
      <c r="C19" s="278" t="str">
        <f>IF(INT(B19/6000)&gt;=1,INT(B19/6000)&amp;" thùng + "&amp;MOD(B19,6000)/100&amp;" túi ",VALUE(B19/100)&amp;"túi")</f>
        <v>6túi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600</v>
      </c>
      <c r="C20" s="278" t="str">
        <f>IF(INT(B20/1200)&gt;=1,INT(B20/1200)&amp;" thùng + "&amp;MOD(B20,1200)/100&amp;" túi ",VALUE(B20/100)&amp;"túi")</f>
        <v>6túi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600</v>
      </c>
      <c r="C21" s="277" t="str">
        <f>IF(INT(B21/25)&gt;=1,INT(B21/25)&amp;" thùng + "&amp;MOD(B21,25)&amp;" cái ",VALUE(B21/25)&amp;"cái")</f>
        <v xml:space="preserve">24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1200</v>
      </c>
      <c r="C22" s="278" t="str">
        <f>IF(INT(B22/100)&gt;=1,INT(B22/100)&amp;" thùng + "&amp;MOD(B22,100)/100&amp;" túi ",VALUE(B22/100)&amp;"túi")</f>
        <v xml:space="preserve">12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1200</v>
      </c>
      <c r="C23" s="278" t="str">
        <f t="shared" ref="C23" si="0">IF(INT(B23/2000)&gt;=1,INT(B23/2000)&amp;" thùng + "&amp;MOD(B23,2000)/100&amp;" túi ",VALUE(B23/100)&amp;"túi")</f>
        <v>12túi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1200</v>
      </c>
      <c r="C24" s="278" t="str">
        <f>IF(INT(B24/100)&gt;=1,INT(B24/100)&amp;" thùng + "&amp;MOD(B24,100)/100&amp;" túi ",VALUE(B24/100)&amp;"túi")</f>
        <v xml:space="preserve">12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600</v>
      </c>
      <c r="C25" s="278" t="str">
        <f>IF(INT(B25/500)&gt;=1,INT(B25/500)&amp;" thùng + "&amp;MOD(B25,500)/100&amp;" túi ",VALUE(B25/100)&amp;"túi")</f>
        <v xml:space="preserve">1 thùng + 1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600</v>
      </c>
      <c r="C26" s="278" t="str">
        <f>IF(INT(B26/500)&gt;=1,INT(B26/500)&amp;" thùng + "&amp;MOD(B26,500)/100&amp;" túi ",VALUE(B26/100)&amp;"túi")</f>
        <v xml:space="preserve">1 thùng + 1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600</v>
      </c>
      <c r="C27" s="278" t="str">
        <f>IF(INT(B27/200)&gt;=1,INT(B27/200)&amp;" thùng + "&amp;MOD(B27,200)/100&amp;" túi ",VALUE(B27/100)&amp;"cái")</f>
        <v xml:space="preserve">3 thùng + 0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300</v>
      </c>
      <c r="C28" s="278" t="str">
        <f>IF(INT(B28/300)&gt;=1,INT(B28/300)&amp;" thùng + "&amp;MOD(B28,300)/100&amp;" túi",VALUE(B28/100)&amp;"túi")</f>
        <v>1 thùng + 0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600</v>
      </c>
      <c r="C29" s="278" t="str">
        <f>IF(INT(B29/400)&gt;=1,INT(B29/400)&amp;" thùng + "&amp;MOD(B29,400)/100&amp;" túi",VALUE(B29/100)&amp;"túi")</f>
        <v>1 thùng + 2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600</v>
      </c>
      <c r="C30" s="278" t="str">
        <f>IF(INT(B30/100)&gt;=1,INT(B30/100)&amp;" thùng + "&amp;MOD(B30,100)&amp;" cái",VALUE(B30)&amp;"cái")</f>
        <v>6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1400</v>
      </c>
      <c r="C31" s="278" t="str">
        <f>IF(INT(B31/1000)&gt;=1,INT(B31/1000)&amp;" thùng + "&amp;MOD(B31,1000)&amp;" cái",VALUE(B31)&amp;"cái")</f>
        <v>1 thùng + 400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5600</v>
      </c>
      <c r="C33" s="278" t="str">
        <f>IF(INT(B33/4000)&gt;=1,INT(B33/4000)&amp;" thùng + "&amp;MOD(B33,4000)&amp;" cái ",VALUE(B33/100)&amp;"túi")</f>
        <v xml:space="preserve">1 thùng + 1600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1200</v>
      </c>
      <c r="C34" s="278" t="str">
        <f>IF(INT(B34/1000)&gt;=1,INT(B34/1000)&amp;" thùng + "&amp;MOD(B34,1000)&amp;" cái",VALUE(B34)&amp;"cái")</f>
        <v>1 thùng + 200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2400</v>
      </c>
      <c r="C35" s="278" t="str">
        <f>IF(INT(B35/500)&gt;=1,INT(B35/500)&amp;" thùng + "&amp;MOD(B35,500)/100&amp;" túi",VALUE(B35/100)&amp;"túi")</f>
        <v>4 thùng + 4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1200</v>
      </c>
      <c r="C36" s="278" t="str">
        <f t="shared" ref="C36" si="1">IF(INT(B36/2000)&gt;=1,INT(B36/2000)&amp;" thùng + "&amp;MOD(B36,2000)/100&amp;" túi ",VALUE(B36/100)&amp;"túi")</f>
        <v>12túi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1200</v>
      </c>
      <c r="C37" s="278" t="str">
        <f>IF(INT(B37/400)&gt;=1,INT(B37/400)&amp;" thùng + "&amp;MOD(B37,400)/100&amp;" túi ",VALUE(B37/100)&amp;"túi")</f>
        <v xml:space="preserve">3 thùng + 0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600</v>
      </c>
      <c r="C38" s="278" t="str">
        <f>IF(INT(B38/1000)&gt;=1,INT(B38/1000)&amp;" thùng + "&amp;MOD(B38,1000)/100&amp;" túi ",VALUE(B38/100)&amp;"túi")</f>
        <v>6túi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  <mergeCell ref="A5:C5"/>
    <mergeCell ref="A1:E1"/>
    <mergeCell ref="H1:L1"/>
    <mergeCell ref="D2:F2"/>
    <mergeCell ref="I2:K2"/>
    <mergeCell ref="I4:K4"/>
  </mergeCells>
  <pageMargins left="0.7" right="0.7" top="0.75" bottom="0.75" header="0.3" footer="0.3"/>
  <pageSetup paperSize="9"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>
  <sheetPr>
    <tabColor rgb="FFFF0000"/>
  </sheetPr>
  <dimension ref="A1:EC132"/>
  <sheetViews>
    <sheetView topLeftCell="AC1" zoomScale="130" zoomScaleNormal="130" workbookViewId="0">
      <pane ySplit="7" topLeftCell="A8" activePane="bottomLeft" state="frozen"/>
      <selection activeCell="Z27" sqref="Z27"/>
      <selection pane="bottomLeft" activeCell="AC8" sqref="AC8"/>
    </sheetView>
  </sheetViews>
  <sheetFormatPr defaultRowHeight="12.75"/>
  <cols>
    <col min="1" max="1" width="20.85546875" style="61" customWidth="1"/>
    <col min="2" max="2" width="11.85546875" style="61" customWidth="1"/>
    <col min="3" max="3" width="10.5703125" style="61" customWidth="1"/>
    <col min="4" max="4" width="6.85546875" style="61" customWidth="1"/>
    <col min="5" max="5" width="18.7109375" style="61" customWidth="1"/>
    <col min="6" max="6" width="10" style="61" customWidth="1"/>
    <col min="7" max="7" width="10.7109375" style="61" customWidth="1"/>
    <col min="8" max="8" width="8" style="61" customWidth="1"/>
    <col min="9" max="9" width="0.85546875" style="61" customWidth="1"/>
    <col min="10" max="10" width="20.85546875" style="61" customWidth="1"/>
    <col min="11" max="11" width="12.5703125" style="237" customWidth="1"/>
    <col min="12" max="12" width="10" style="61" customWidth="1"/>
    <col min="13" max="13" width="8.7109375" style="61" customWidth="1"/>
    <col min="14" max="14" width="16.140625" style="61" customWidth="1"/>
    <col min="15" max="16" width="10.7109375" style="61" customWidth="1"/>
    <col min="17" max="17" width="7.7109375" style="61" customWidth="1"/>
    <col min="18" max="18" width="1" style="61" customWidth="1"/>
    <col min="19" max="19" width="16" style="61" customWidth="1"/>
    <col min="20" max="20" width="13.85546875" style="237" customWidth="1"/>
    <col min="21" max="21" width="8.7109375" style="61" customWidth="1"/>
    <col min="22" max="22" width="6.5703125" style="61" customWidth="1"/>
    <col min="23" max="23" width="10.42578125" style="237" customWidth="1"/>
    <col min="24" max="24" width="8.42578125" style="61" customWidth="1"/>
    <col min="25" max="25" width="6" style="61" customWidth="1"/>
    <col min="26" max="26" width="12" style="448" customWidth="1"/>
    <col min="27" max="27" width="8.42578125" style="61" customWidth="1"/>
    <col min="28" max="28" width="6.28515625" style="61" customWidth="1"/>
    <col min="29" max="29" width="1.42578125" style="59" customWidth="1"/>
    <col min="30" max="30" width="19.140625" style="61" customWidth="1"/>
    <col min="31" max="31" width="11.85546875" style="329" customWidth="1"/>
    <col min="32" max="32" width="37.5703125" style="61" bestFit="1" customWidth="1"/>
    <col min="33" max="33" width="71.28515625" style="61" bestFit="1" customWidth="1"/>
    <col min="34" max="34" width="16.140625" style="61" customWidth="1"/>
    <col min="35" max="35" width="10" style="61" customWidth="1"/>
    <col min="36" max="36" width="8.28515625" style="61" customWidth="1"/>
    <col min="37" max="37" width="6" style="61" customWidth="1"/>
    <col min="38" max="38" width="6.7109375" style="61" customWidth="1"/>
    <col min="39" max="39" width="1.7109375" style="61" customWidth="1"/>
    <col min="40" max="40" width="20.140625" style="61" customWidth="1"/>
    <col min="41" max="41" width="9.7109375" style="237" customWidth="1"/>
    <col min="42" max="42" width="8.140625" style="61" customWidth="1"/>
    <col min="43" max="43" width="5.140625" style="61" customWidth="1"/>
    <col min="44" max="44" width="14.42578125" style="237" customWidth="1"/>
    <col min="45" max="45" width="8" style="61" customWidth="1"/>
    <col min="46" max="46" width="4.140625" style="61" customWidth="1"/>
    <col min="47" max="47" width="9.7109375" style="237" customWidth="1"/>
    <col min="48" max="48" width="7.28515625" style="61" customWidth="1"/>
    <col min="49" max="49" width="5.42578125" style="61" customWidth="1"/>
    <col min="50" max="16384" width="9.140625" style="61"/>
  </cols>
  <sheetData>
    <row r="1" spans="1:133" s="52" customFormat="1" ht="19.5" customHeight="1" thickBot="1">
      <c r="A1" s="954" t="s">
        <v>266</v>
      </c>
      <c r="B1" s="955"/>
      <c r="C1" s="955"/>
      <c r="D1" s="955"/>
      <c r="E1" s="955"/>
      <c r="F1" s="955"/>
      <c r="G1" s="955"/>
      <c r="H1" s="834"/>
      <c r="J1" s="1002" t="str">
        <f>A1</f>
        <v>BẢNG KÊ XUẤT HÀNG THÁNG 1 NĂM 2018</v>
      </c>
      <c r="K1" s="1003"/>
      <c r="L1" s="1003"/>
      <c r="M1" s="1003"/>
      <c r="N1" s="1003"/>
      <c r="O1" s="1003"/>
      <c r="P1" s="1004"/>
      <c r="Q1" s="836"/>
      <c r="S1" s="1002" t="str">
        <f>A1</f>
        <v>BẢNG KÊ XUẤT HÀNG THÁNG 1 NĂM 2018</v>
      </c>
      <c r="T1" s="1003"/>
      <c r="U1" s="1003"/>
      <c r="V1" s="1003"/>
      <c r="W1" s="1003"/>
      <c r="X1" s="1003"/>
      <c r="Y1" s="1003"/>
      <c r="Z1" s="1003"/>
      <c r="AA1" s="1004"/>
      <c r="AB1" s="835"/>
      <c r="AC1" s="415"/>
      <c r="AD1" s="958"/>
      <c r="AE1" s="958"/>
      <c r="AF1" s="958"/>
      <c r="AG1" s="958"/>
      <c r="AH1" s="958"/>
      <c r="AI1" s="958"/>
      <c r="AJ1" s="958"/>
      <c r="AK1" s="958"/>
      <c r="AL1" s="959"/>
      <c r="AM1" s="415"/>
      <c r="AN1" s="393"/>
      <c r="AO1" s="1005"/>
      <c r="AP1" s="1003"/>
      <c r="AQ1" s="1003"/>
      <c r="AR1" s="1003"/>
      <c r="AS1" s="1003"/>
      <c r="AT1" s="1003"/>
      <c r="AU1" s="1003"/>
      <c r="AV1" s="1003"/>
      <c r="AW1" s="1006"/>
    </row>
    <row r="2" spans="1:133" ht="15.75" customHeight="1">
      <c r="A2" s="56" t="s">
        <v>411</v>
      </c>
      <c r="B2" s="57"/>
      <c r="C2" s="58"/>
      <c r="D2" s="993" t="s">
        <v>231</v>
      </c>
      <c r="E2" s="994"/>
      <c r="F2" s="994"/>
      <c r="G2" s="994"/>
      <c r="H2" s="995"/>
      <c r="J2" s="56" t="str">
        <f>A2</f>
        <v>Ngày 31 tháng 7 năm 2018</v>
      </c>
      <c r="K2" s="236"/>
      <c r="L2" s="58"/>
      <c r="M2" s="996" t="s">
        <v>231</v>
      </c>
      <c r="N2" s="997"/>
      <c r="O2" s="997"/>
      <c r="P2" s="997"/>
      <c r="Q2" s="998"/>
      <c r="S2" s="56" t="str">
        <f>A2</f>
        <v>Ngày 31 tháng 7 năm 2018</v>
      </c>
      <c r="T2" s="236"/>
      <c r="U2" s="57"/>
      <c r="V2" s="58"/>
      <c r="W2" s="996" t="s">
        <v>232</v>
      </c>
      <c r="X2" s="997"/>
      <c r="Y2" s="997"/>
      <c r="Z2" s="997"/>
      <c r="AA2" s="997"/>
      <c r="AB2" s="999"/>
      <c r="AC2" s="416"/>
      <c r="AD2" s="141" t="str">
        <f>A2</f>
        <v>Ngày 31 tháng 7 năm 2018</v>
      </c>
      <c r="AE2" s="141"/>
      <c r="AF2" s="58"/>
      <c r="AG2" s="59"/>
      <c r="AH2" s="994" t="s">
        <v>233</v>
      </c>
      <c r="AI2" s="994"/>
      <c r="AJ2" s="994"/>
      <c r="AK2" s="994"/>
      <c r="AL2" s="995"/>
      <c r="AM2" s="416"/>
      <c r="AN2" s="56" t="str">
        <f>J2</f>
        <v>Ngày 31 tháng 7 năm 2018</v>
      </c>
      <c r="AO2" s="236"/>
      <c r="AP2" s="58"/>
      <c r="AQ2" s="62"/>
      <c r="AR2" s="1000" t="s">
        <v>232</v>
      </c>
      <c r="AS2" s="1000"/>
      <c r="AT2" s="1000"/>
      <c r="AU2" s="1000"/>
      <c r="AV2" s="1000"/>
      <c r="AW2" s="1001"/>
    </row>
    <row r="3" spans="1:133" ht="22.5" customHeight="1">
      <c r="A3" s="62" t="s">
        <v>218</v>
      </c>
      <c r="B3" s="335"/>
      <c r="C3" s="60"/>
      <c r="D3" s="59"/>
      <c r="E3" s="59"/>
      <c r="F3" s="59"/>
      <c r="G3" s="59"/>
      <c r="H3" s="60"/>
      <c r="J3" s="62" t="s">
        <v>219</v>
      </c>
      <c r="K3" s="336"/>
      <c r="L3" s="60"/>
      <c r="M3" s="62"/>
      <c r="N3" s="59"/>
      <c r="O3" s="59"/>
      <c r="P3" s="59"/>
      <c r="Q3" s="60"/>
      <c r="S3" s="62" t="s">
        <v>220</v>
      </c>
      <c r="T3" s="336"/>
      <c r="U3" s="59"/>
      <c r="V3" s="60"/>
      <c r="W3" s="238"/>
      <c r="X3" s="59"/>
      <c r="Y3" s="59"/>
      <c r="Z3" s="445"/>
      <c r="AA3" s="59"/>
      <c r="AB3" s="59"/>
      <c r="AC3" s="417"/>
      <c r="AD3" s="59" t="s">
        <v>219</v>
      </c>
      <c r="AE3" s="335"/>
      <c r="AF3" s="60"/>
      <c r="AG3" s="59"/>
      <c r="AH3" s="59"/>
      <c r="AI3" s="59"/>
      <c r="AJ3" s="59"/>
      <c r="AK3" s="59"/>
      <c r="AL3" s="60"/>
      <c r="AM3" s="417"/>
      <c r="AN3" s="62" t="s">
        <v>219</v>
      </c>
      <c r="AO3" s="336"/>
      <c r="AP3" s="60"/>
      <c r="AQ3" s="62"/>
      <c r="AR3" s="238"/>
      <c r="AS3" s="59"/>
      <c r="AT3" s="59"/>
      <c r="AU3" s="238"/>
      <c r="AV3" s="59"/>
      <c r="AW3" s="60"/>
    </row>
    <row r="4" spans="1:133" s="52" customFormat="1" ht="22.5" customHeight="1">
      <c r="A4" s="333" t="s">
        <v>35</v>
      </c>
      <c r="B4" s="960" t="s">
        <v>31</v>
      </c>
      <c r="C4" s="1016"/>
      <c r="D4" s="837"/>
      <c r="E4" s="53"/>
      <c r="F4" s="53"/>
      <c r="G4" s="53"/>
      <c r="H4" s="339"/>
      <c r="J4" s="333" t="s">
        <v>35</v>
      </c>
      <c r="K4" s="960" t="s">
        <v>32</v>
      </c>
      <c r="L4" s="1016"/>
      <c r="M4" s="367"/>
      <c r="N4" s="53"/>
      <c r="O4" s="53"/>
      <c r="P4" s="53"/>
      <c r="Q4" s="339"/>
      <c r="S4" s="333" t="s">
        <v>35</v>
      </c>
      <c r="T4" s="960" t="s">
        <v>36</v>
      </c>
      <c r="U4" s="960"/>
      <c r="V4" s="842"/>
      <c r="W4" s="338"/>
      <c r="X4" s="53"/>
      <c r="Y4" s="53"/>
      <c r="Z4" s="446"/>
      <c r="AA4" s="53"/>
      <c r="AB4" s="53"/>
      <c r="AC4" s="418"/>
      <c r="AD4" s="53" t="s">
        <v>35</v>
      </c>
      <c r="AE4" s="960" t="s">
        <v>32</v>
      </c>
      <c r="AF4" s="1016"/>
      <c r="AG4" s="837"/>
      <c r="AH4" s="53"/>
      <c r="AI4" s="53"/>
      <c r="AJ4" s="53"/>
      <c r="AK4" s="53"/>
      <c r="AL4" s="339"/>
      <c r="AM4" s="418"/>
      <c r="AN4" s="333" t="s">
        <v>35</v>
      </c>
      <c r="AO4" s="1007" t="s">
        <v>32</v>
      </c>
      <c r="AP4" s="1008"/>
      <c r="AQ4" s="391"/>
      <c r="AR4" s="338"/>
      <c r="AS4" s="53"/>
      <c r="AT4" s="53"/>
      <c r="AU4" s="338"/>
      <c r="AV4" s="53"/>
      <c r="AW4" s="339"/>
    </row>
    <row r="5" spans="1:133" s="52" customFormat="1" ht="22.5" customHeight="1" thickBot="1">
      <c r="A5" s="1009" t="s">
        <v>247</v>
      </c>
      <c r="B5" s="1010"/>
      <c r="C5" s="1011"/>
      <c r="D5" s="837"/>
      <c r="E5" s="53"/>
      <c r="F5" s="53"/>
      <c r="G5" s="53"/>
      <c r="H5" s="339"/>
      <c r="J5" s="1012" t="s">
        <v>245</v>
      </c>
      <c r="K5" s="1013"/>
      <c r="L5" s="1014"/>
      <c r="M5" s="368"/>
      <c r="N5" s="369"/>
      <c r="O5" s="369"/>
      <c r="P5" s="369"/>
      <c r="Q5" s="366"/>
      <c r="S5" s="1012" t="s">
        <v>246</v>
      </c>
      <c r="T5" s="1013"/>
      <c r="U5" s="1013"/>
      <c r="V5" s="381"/>
      <c r="W5" s="841"/>
      <c r="X5" s="369"/>
      <c r="Y5" s="369"/>
      <c r="Z5" s="447"/>
      <c r="AA5" s="369"/>
      <c r="AB5" s="53"/>
      <c r="AC5" s="418"/>
      <c r="AD5" s="1013" t="s">
        <v>245</v>
      </c>
      <c r="AE5" s="1013"/>
      <c r="AF5" s="1014"/>
      <c r="AG5" s="382"/>
      <c r="AH5" s="369"/>
      <c r="AI5" s="369"/>
      <c r="AJ5" s="369"/>
      <c r="AK5" s="369"/>
      <c r="AL5" s="366"/>
      <c r="AM5" s="418"/>
      <c r="AN5" s="1012" t="s">
        <v>245</v>
      </c>
      <c r="AO5" s="1013"/>
      <c r="AP5" s="1014"/>
      <c r="AQ5" s="392"/>
      <c r="AR5" s="841"/>
      <c r="AS5" s="369"/>
      <c r="AT5" s="369"/>
      <c r="AU5" s="338"/>
      <c r="AV5" s="53"/>
      <c r="AW5" s="339"/>
    </row>
    <row r="6" spans="1:133" ht="26.25" customHeight="1">
      <c r="A6" s="1020" t="s">
        <v>0</v>
      </c>
      <c r="B6" s="965" t="s">
        <v>255</v>
      </c>
      <c r="C6" s="966"/>
      <c r="D6" s="953"/>
      <c r="E6" s="1015" t="s">
        <v>0</v>
      </c>
      <c r="F6" s="951" t="s">
        <v>256</v>
      </c>
      <c r="G6" s="952"/>
      <c r="H6" s="1022"/>
      <c r="J6" s="844" t="s">
        <v>0</v>
      </c>
      <c r="K6" s="1017" t="s">
        <v>257</v>
      </c>
      <c r="L6" s="1017"/>
      <c r="M6" s="1017"/>
      <c r="N6" s="1015" t="s">
        <v>0</v>
      </c>
      <c r="O6" s="1017" t="s">
        <v>258</v>
      </c>
      <c r="P6" s="1017"/>
      <c r="Q6" s="1018"/>
      <c r="S6" s="963" t="s">
        <v>0</v>
      </c>
      <c r="T6" s="1017" t="s">
        <v>254</v>
      </c>
      <c r="U6" s="1017"/>
      <c r="V6" s="1017"/>
      <c r="W6" s="1019" t="s">
        <v>223</v>
      </c>
      <c r="X6" s="1019"/>
      <c r="Y6" s="843"/>
      <c r="Z6" s="1019" t="s">
        <v>222</v>
      </c>
      <c r="AA6" s="1019"/>
      <c r="AB6" s="951"/>
      <c r="AC6" s="419"/>
      <c r="AD6" s="1031" t="s">
        <v>0</v>
      </c>
      <c r="AE6" s="965" t="s">
        <v>414</v>
      </c>
      <c r="AF6" s="966"/>
      <c r="AG6" s="967"/>
      <c r="AH6" s="965" t="s">
        <v>225</v>
      </c>
      <c r="AI6" s="966"/>
      <c r="AJ6" s="967"/>
      <c r="AK6" s="1028" t="s">
        <v>226</v>
      </c>
      <c r="AL6" s="1029"/>
      <c r="AM6" s="419"/>
      <c r="AN6" s="1030" t="s">
        <v>0</v>
      </c>
      <c r="AO6" s="950" t="s">
        <v>227</v>
      </c>
      <c r="AP6" s="950"/>
      <c r="AQ6" s="1017"/>
      <c r="AR6" s="1017" t="s">
        <v>228</v>
      </c>
      <c r="AS6" s="1017"/>
      <c r="AT6" s="1017"/>
      <c r="AU6" s="1019" t="s">
        <v>229</v>
      </c>
      <c r="AV6" s="1019"/>
      <c r="AW6" s="1023"/>
    </row>
    <row r="7" spans="1:133" ht="26.25" customHeight="1">
      <c r="A7" s="1021"/>
      <c r="B7" s="72" t="s">
        <v>63</v>
      </c>
      <c r="C7" s="74" t="s">
        <v>217</v>
      </c>
      <c r="D7" s="74" t="s">
        <v>230</v>
      </c>
      <c r="E7" s="932"/>
      <c r="F7" s="74" t="s">
        <v>71</v>
      </c>
      <c r="G7" s="74" t="s">
        <v>217</v>
      </c>
      <c r="H7" s="359" t="s">
        <v>230</v>
      </c>
      <c r="J7" s="845"/>
      <c r="K7" s="74" t="s">
        <v>63</v>
      </c>
      <c r="L7" s="74" t="s">
        <v>217</v>
      </c>
      <c r="M7" s="370" t="s">
        <v>230</v>
      </c>
      <c r="N7" s="932"/>
      <c r="O7" s="833" t="s">
        <v>63</v>
      </c>
      <c r="P7" s="833" t="s">
        <v>217</v>
      </c>
      <c r="Q7" s="371" t="s">
        <v>230</v>
      </c>
      <c r="S7" s="939"/>
      <c r="T7" s="74" t="s">
        <v>259</v>
      </c>
      <c r="U7" s="74" t="s">
        <v>217</v>
      </c>
      <c r="V7" s="833" t="s">
        <v>230</v>
      </c>
      <c r="W7" s="74" t="s">
        <v>63</v>
      </c>
      <c r="X7" s="74" t="s">
        <v>217</v>
      </c>
      <c r="Y7" s="833" t="s">
        <v>230</v>
      </c>
      <c r="Z7" s="315" t="s">
        <v>63</v>
      </c>
      <c r="AA7" s="833" t="s">
        <v>217</v>
      </c>
      <c r="AB7" s="394" t="s">
        <v>230</v>
      </c>
      <c r="AC7" s="420"/>
      <c r="AD7" s="1032"/>
      <c r="AE7" s="848" t="s">
        <v>416</v>
      </c>
      <c r="AF7" s="849" t="s">
        <v>415</v>
      </c>
      <c r="AG7" s="850" t="s">
        <v>230</v>
      </c>
      <c r="AH7" s="372" t="s">
        <v>63</v>
      </c>
      <c r="AI7" s="833" t="s">
        <v>217</v>
      </c>
      <c r="AJ7" s="833" t="s">
        <v>230</v>
      </c>
      <c r="AK7" s="832" t="s">
        <v>63</v>
      </c>
      <c r="AL7" s="340" t="s">
        <v>217</v>
      </c>
      <c r="AM7" s="420"/>
      <c r="AN7" s="1021"/>
      <c r="AO7" s="372" t="s">
        <v>63</v>
      </c>
      <c r="AP7" s="833" t="s">
        <v>217</v>
      </c>
      <c r="AQ7" s="833" t="s">
        <v>230</v>
      </c>
      <c r="AR7" s="833" t="s">
        <v>63</v>
      </c>
      <c r="AS7" s="833" t="s">
        <v>217</v>
      </c>
      <c r="AT7" s="833" t="s">
        <v>230</v>
      </c>
      <c r="AU7" s="74" t="s">
        <v>63</v>
      </c>
      <c r="AV7" s="74" t="s">
        <v>217</v>
      </c>
      <c r="AW7" s="340" t="s">
        <v>230</v>
      </c>
    </row>
    <row r="8" spans="1:133" ht="14.25" customHeight="1">
      <c r="A8" s="355" t="s">
        <v>37</v>
      </c>
      <c r="B8" s="243">
        <v>260</v>
      </c>
      <c r="C8" s="276" t="str">
        <f>IF(INT(B8/4000)&gt;=1,INT(B8/4000)&amp;" thùng + "&amp;MOD(B8,4000)/100&amp;" túi ",VALUE(B8/100)&amp;"túi")</f>
        <v>2.6túi</v>
      </c>
      <c r="D8" s="356"/>
      <c r="E8" s="357"/>
      <c r="F8" s="253"/>
      <c r="G8" s="358"/>
      <c r="H8" s="341">
        <v>0</v>
      </c>
      <c r="J8" s="178" t="s">
        <v>37</v>
      </c>
      <c r="K8" s="245">
        <v>300</v>
      </c>
      <c r="L8" s="276" t="str">
        <f>IF(INT(K8/4000)&gt;=1,INT(K8/4000)&amp;" thùng + "&amp;MOD(K8,4000)/100&amp;" túi ",VALUE(K8/100)&amp;"túi")</f>
        <v>3túi</v>
      </c>
      <c r="M8" s="313"/>
      <c r="N8" s="71"/>
      <c r="O8" s="98"/>
      <c r="P8" s="71"/>
      <c r="Q8" s="102"/>
      <c r="S8" s="178" t="s">
        <v>114</v>
      </c>
      <c r="T8" s="257">
        <v>1930</v>
      </c>
      <c r="U8" s="277" t="str">
        <f>IF(INT(T8/400)&gt;=1,INT(T8/400)&amp;" thùng + "&amp;MOD(T8,400)/50&amp;" túi ",VALUE(T8/50)&amp;"cái")</f>
        <v xml:space="preserve">4 thùng + 6.6 túi </v>
      </c>
      <c r="V8" s="311"/>
      <c r="W8" s="332"/>
      <c r="X8" s="283"/>
      <c r="Y8" s="301"/>
      <c r="Z8" s="243"/>
      <c r="AA8" s="373"/>
      <c r="AB8" s="395"/>
      <c r="AC8" s="421"/>
      <c r="AD8" s="411" t="s">
        <v>37</v>
      </c>
      <c r="AE8" s="243"/>
      <c r="AF8" s="851" t="s">
        <v>417</v>
      </c>
      <c r="AG8" s="851" t="s">
        <v>418</v>
      </c>
      <c r="AH8" s="243"/>
      <c r="AI8" s="276" t="str">
        <f>IF(INT(AH8/4000)&gt;=1,INT(AH8/4000)&amp;" thùng + "&amp;MOD(AH8,4000)/100&amp;" túi ",VALUE(AH8/100)&amp;"túi")</f>
        <v>0túi</v>
      </c>
      <c r="AJ8" s="290"/>
      <c r="AK8" s="253"/>
      <c r="AL8" s="240"/>
      <c r="AM8" s="417"/>
      <c r="AN8" s="178" t="s">
        <v>37</v>
      </c>
      <c r="AO8" s="243"/>
      <c r="AP8" s="285"/>
      <c r="AQ8" s="301"/>
      <c r="AR8" s="245"/>
      <c r="AS8" s="283"/>
      <c r="AT8" s="98"/>
      <c r="AU8" s="245"/>
      <c r="AV8" s="301"/>
      <c r="AW8" s="384"/>
    </row>
    <row r="9" spans="1:133" s="88" customFormat="1" ht="14.25" customHeight="1">
      <c r="A9" s="117" t="s">
        <v>44</v>
      </c>
      <c r="B9" s="242">
        <v>260</v>
      </c>
      <c r="C9" s="277" t="str">
        <f>IF(INT(B9/500)&gt;=1,INT(B9/500)&amp;" thùng + "&amp;MOD(B9,500)/100&amp;" túi ",VALUE(B9/100)&amp;"túi")</f>
        <v>2.6túi</v>
      </c>
      <c r="D9" s="291"/>
      <c r="E9" s="81"/>
      <c r="F9" s="242"/>
      <c r="G9" s="113"/>
      <c r="H9" s="342"/>
      <c r="J9" s="114" t="s">
        <v>44</v>
      </c>
      <c r="K9" s="242">
        <v>300</v>
      </c>
      <c r="L9" s="277" t="str">
        <f>IF(INT(K9/500)&gt;=1,INT(K9/500)&amp;" thùng + "&amp;MOD(K9,500)/100&amp;" túi ",VALUE(K9/100)&amp;"túi")</f>
        <v>3túi</v>
      </c>
      <c r="M9" s="291"/>
      <c r="N9" s="81"/>
      <c r="O9" s="81"/>
      <c r="P9" s="81"/>
      <c r="Q9" s="91"/>
      <c r="S9" s="117" t="s">
        <v>38</v>
      </c>
      <c r="T9" s="119"/>
      <c r="U9" s="277"/>
      <c r="V9" s="291"/>
      <c r="W9" s="242">
        <v>1000</v>
      </c>
      <c r="X9" s="278" t="str">
        <f>IF(INT(W9/4000)&gt;=1,INT(W9/4000)&amp;" thùng + "&amp;MOD(W9,4000)/100&amp;" túi ",VALUE(W9/100)&amp;"túi")</f>
        <v>10túi</v>
      </c>
      <c r="Y9" s="313"/>
      <c r="Z9" s="245">
        <v>380</v>
      </c>
      <c r="AA9" s="278" t="str">
        <f>IF(INT(Z9/4000)&gt;=1,INT(Z9/4000)&amp;" thùng + "&amp;MOD(Z9,4000)/100&amp;" túi ",VALUE(Z9/100)&amp;"túi")</f>
        <v>3.8túi</v>
      </c>
      <c r="AB9" s="397"/>
      <c r="AC9" s="422"/>
      <c r="AD9" s="112" t="s">
        <v>238</v>
      </c>
      <c r="AE9" s="242"/>
      <c r="AF9" s="279"/>
      <c r="AG9" s="293"/>
      <c r="AH9" s="242"/>
      <c r="AI9" s="277" t="str">
        <f>IF(INT(AH9/500)&gt;=1,INT(AH9/500)&amp;" thùng + "&amp;MOD(AH9,500)/100&amp;" túi ",VALUE(AH9/100)&amp;"túi")</f>
        <v>0túi</v>
      </c>
      <c r="AJ9" s="291"/>
      <c r="AK9" s="227"/>
      <c r="AL9" s="91"/>
      <c r="AM9" s="430"/>
      <c r="AN9" s="114" t="s">
        <v>44</v>
      </c>
      <c r="AO9" s="242"/>
      <c r="AP9" s="279"/>
      <c r="AQ9" s="293"/>
      <c r="AR9" s="242"/>
      <c r="AS9" s="279"/>
      <c r="AT9" s="293"/>
      <c r="AU9" s="242"/>
      <c r="AV9" s="293"/>
      <c r="AW9" s="298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</row>
    <row r="10" spans="1:133" ht="14.25" customHeight="1">
      <c r="A10" s="105" t="s">
        <v>40</v>
      </c>
      <c r="B10" s="244" t="s">
        <v>412</v>
      </c>
      <c r="C10" s="277" t="e">
        <f>IF(INT(B10/500)&gt;=1,INT(B10/500)&amp;" thùng + "&amp;MOD(B10,500)/100&amp;" túi ",VALUE(B10/100)&amp;"túi")</f>
        <v>#VALUE!</v>
      </c>
      <c r="D10" s="291"/>
      <c r="E10" s="71" t="s">
        <v>40</v>
      </c>
      <c r="F10" s="244">
        <v>900</v>
      </c>
      <c r="G10" s="277" t="str">
        <f>IF(INT(F10/500)&gt;=1,INT(F10/500)&amp;" thùng + "&amp;MOD(F10,500)/100&amp;" túi ",VALUE(F10/100)&amp;"túi")</f>
        <v xml:space="preserve">1 thùng + 4 túi </v>
      </c>
      <c r="H10" s="343"/>
      <c r="J10" s="103" t="s">
        <v>40</v>
      </c>
      <c r="K10" s="244">
        <v>400</v>
      </c>
      <c r="L10" s="278" t="str">
        <f>IF(INT(K10/500)&gt;=1,INT(K10/500)&amp;" thùng + "&amp;MOD(K10,500)/100&amp;" túi ",VALUE(K10/100)&amp;"túi")</f>
        <v>4túi</v>
      </c>
      <c r="M10" s="292"/>
      <c r="N10" s="71"/>
      <c r="O10" s="71"/>
      <c r="P10" s="71"/>
      <c r="Q10" s="102"/>
      <c r="S10" s="103" t="s">
        <v>273</v>
      </c>
      <c r="T10" s="326">
        <v>2778</v>
      </c>
      <c r="U10" s="277" t="str">
        <f>IF(INT(T10/3000)&gt;=1,INT(T10/3000)&amp;" thùng + "&amp;MOD(T10,3000)/100&amp;" túi ",VALUE(T10/100)&amp;"túi")</f>
        <v>27.78túi</v>
      </c>
      <c r="V10" s="292"/>
      <c r="W10" s="244"/>
      <c r="X10" s="277" t="str">
        <f>IF(INT(W10/3000)&gt;=1,INT(W10/3000)&amp;" thùng + "&amp;MOD(W10,3000)/100&amp;" túi ",VALUE(W10/100)&amp;"túi")</f>
        <v>0túi</v>
      </c>
      <c r="Y10" s="294"/>
      <c r="Z10" s="321"/>
      <c r="AA10" s="278" t="str">
        <f>IF(INT(Z10/4000)&gt;=1,INT(Z10/4000)&amp;" thùng + "&amp;MOD(Z10,4000)&amp;" cái ",VALUE(Z10)&amp;"cái")</f>
        <v>0cái</v>
      </c>
      <c r="AB10" s="397"/>
      <c r="AC10" s="422"/>
      <c r="AD10" s="115" t="s">
        <v>40</v>
      </c>
      <c r="AE10" s="244">
        <v>900</v>
      </c>
      <c r="AF10" s="278" t="str">
        <f>IF(INT(AE10/500)&gt;=1,INT(AE10/500)&amp;" thùng + "&amp;MOD(AE10,500)/100&amp;" túi ",VALUE(AE10/100)&amp;"túi")</f>
        <v xml:space="preserve">1 thùng + 4 túi </v>
      </c>
      <c r="AG10" s="292"/>
      <c r="AH10" s="244"/>
      <c r="AI10" s="280"/>
      <c r="AJ10" s="294"/>
      <c r="AK10" s="246"/>
      <c r="AL10" s="102"/>
      <c r="AM10" s="417"/>
      <c r="AN10" s="103" t="s">
        <v>40</v>
      </c>
      <c r="AO10" s="441"/>
      <c r="AP10" s="278" t="str">
        <f>IF(INT(AO10/500)&gt;=1,INT(AO10/500)&amp;" thùng + "&amp;MOD(AO10,500)/100&amp;" túi ",VALUE(AO10/100)&amp;"túi")</f>
        <v>0túi</v>
      </c>
      <c r="AQ10" s="292"/>
      <c r="AR10" s="244"/>
      <c r="AS10" s="280"/>
      <c r="AT10" s="294"/>
      <c r="AU10" s="244"/>
      <c r="AV10" s="294"/>
      <c r="AW10" s="295"/>
    </row>
    <row r="11" spans="1:133" s="88" customFormat="1" ht="14.25" customHeight="1">
      <c r="A11" s="114" t="s">
        <v>57</v>
      </c>
      <c r="B11" s="242">
        <v>4600</v>
      </c>
      <c r="C11" s="277" t="str">
        <f>IF(INT(B11/2000)&gt;=1,INT(B11/2000)&amp;" thùng + "&amp;MOD(B11,2000)/100&amp;" túi ",VALUE(B11/100)&amp;"túi")</f>
        <v xml:space="preserve">2 thùng + 6 túi </v>
      </c>
      <c r="D11" s="291"/>
      <c r="E11" s="81"/>
      <c r="F11" s="242"/>
      <c r="G11" s="277"/>
      <c r="H11" s="342"/>
      <c r="J11" s="114" t="s">
        <v>57</v>
      </c>
      <c r="K11" s="242">
        <v>1800</v>
      </c>
      <c r="L11" s="277" t="str">
        <f t="shared" ref="L11:L12" si="0">IF(INT(K11/2000)&gt;=1,INT(K11/2000)&amp;" thùng + "&amp;MOD(K11,2000)/100&amp;" túi ",VALUE(K11/100)&amp;"túi")</f>
        <v>18túi</v>
      </c>
      <c r="M11" s="291"/>
      <c r="N11" s="119"/>
      <c r="O11" s="111"/>
      <c r="P11" s="81"/>
      <c r="Q11" s="91"/>
      <c r="S11" s="114" t="s">
        <v>77</v>
      </c>
      <c r="T11" s="119"/>
      <c r="U11" s="277"/>
      <c r="V11" s="291"/>
      <c r="W11" s="242"/>
      <c r="X11" s="284"/>
      <c r="Y11" s="302"/>
      <c r="Z11" s="244">
        <v>1000</v>
      </c>
      <c r="AA11" s="277" t="str">
        <f>IF(INT(Z11/3000)&gt;=1,INT(Z11/3000)&amp;" thùng + "&amp;MOD(Z11,3000)/100&amp;" túi ",VALUE(Z11/100)&amp;"túi")</f>
        <v>10túi</v>
      </c>
      <c r="AB11" s="398"/>
      <c r="AC11" s="423"/>
      <c r="AD11" s="112" t="s">
        <v>57</v>
      </c>
      <c r="AE11" s="330">
        <v>200</v>
      </c>
      <c r="AF11" s="277" t="str">
        <f>IF(INT(AE11/2000)&gt;=1,INT(AE11/2000)&amp;" thùng + "&amp;MOD(AE11,2000)/100&amp;" túi ",VALUE(AE11)&amp;"cái")</f>
        <v>200cái</v>
      </c>
      <c r="AG11" s="291"/>
      <c r="AH11" s="242">
        <v>800</v>
      </c>
      <c r="AI11" s="277" t="str">
        <f>IF(INT(AH11/2000)&gt;=1,INT(AH11/2000)&amp;" thùng + "&amp;MOD(AH11,2000)/100&amp;" túi ",VALUE(AH11/100)&amp;"túi")</f>
        <v>8túi</v>
      </c>
      <c r="AJ11" s="291"/>
      <c r="AK11" s="227"/>
      <c r="AL11" s="91"/>
      <c r="AM11" s="430"/>
      <c r="AN11" s="114" t="s">
        <v>57</v>
      </c>
      <c r="AO11" s="242"/>
      <c r="AP11" s="279"/>
      <c r="AQ11" s="293"/>
      <c r="AR11" s="242"/>
      <c r="AS11" s="279"/>
      <c r="AT11" s="293"/>
      <c r="AU11" s="242"/>
      <c r="AV11" s="293"/>
      <c r="AW11" s="298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</row>
    <row r="12" spans="1:133" ht="14.25" customHeight="1">
      <c r="A12" s="105" t="s">
        <v>112</v>
      </c>
      <c r="B12" s="244"/>
      <c r="C12" s="277" t="str">
        <f>IF(INT(B12/2000)&gt;=1,INT(B12/2000)&amp;" thùng + "&amp;MOD(B12,2000)/100&amp;" túi ",VALUE(B12/100)&amp;"túi")</f>
        <v>0túi</v>
      </c>
      <c r="D12" s="312"/>
      <c r="E12" s="71" t="s">
        <v>112</v>
      </c>
      <c r="F12" s="244">
        <v>2400</v>
      </c>
      <c r="G12" s="277" t="str">
        <f>IF(INT(F12/2000)&gt;=1,INT(F12/2000)&amp;" thùng + "&amp;MOD(F12,2000)/100&amp;" túi ",VALUE(F12/100)&amp;"túi")</f>
        <v xml:space="preserve">1 thùng + 4 túi </v>
      </c>
      <c r="H12" s="343"/>
      <c r="J12" s="105" t="s">
        <v>112</v>
      </c>
      <c r="K12" s="244">
        <v>3200</v>
      </c>
      <c r="L12" s="278" t="str">
        <f t="shared" si="0"/>
        <v xml:space="preserve">1 thùng + 12 túi </v>
      </c>
      <c r="M12" s="292"/>
      <c r="N12" s="71"/>
      <c r="O12" s="71"/>
      <c r="P12" s="71"/>
      <c r="Q12" s="102"/>
      <c r="S12" s="105" t="s">
        <v>112</v>
      </c>
      <c r="T12" s="120"/>
      <c r="U12" s="278"/>
      <c r="V12" s="292"/>
      <c r="W12" s="244">
        <v>2400</v>
      </c>
      <c r="X12" s="278" t="str">
        <f t="shared" ref="X12" si="1">IF(INT(W12/2000)&gt;=1,INT(W12/2000)&amp;" thùng + "&amp;MOD(W12,2000)/100&amp;" túi ",VALUE(W12/100)&amp;"túi")</f>
        <v xml:space="preserve">1 thùng + 4 túi </v>
      </c>
      <c r="Y12" s="292"/>
      <c r="Z12" s="244">
        <v>240</v>
      </c>
      <c r="AA12" s="278" t="str">
        <f t="shared" ref="AA12" si="2">IF(INT(Z12/2000)&gt;=1,INT(Z12/2000)&amp;" thùng + "&amp;MOD(Z12,2000)/100&amp;" túi ",VALUE(Z12/100)&amp;"túi")</f>
        <v>2.4túi</v>
      </c>
      <c r="AB12" s="397"/>
      <c r="AC12" s="422"/>
      <c r="AD12" s="100" t="s">
        <v>112</v>
      </c>
      <c r="AE12" s="244"/>
      <c r="AF12" s="280"/>
      <c r="AG12" s="294"/>
      <c r="AH12" s="244"/>
      <c r="AI12" s="280"/>
      <c r="AJ12" s="294"/>
      <c r="AK12" s="246"/>
      <c r="AL12" s="102"/>
      <c r="AM12" s="417"/>
      <c r="AN12" s="105" t="s">
        <v>112</v>
      </c>
      <c r="AO12" s="244"/>
      <c r="AP12" s="385" t="str">
        <f t="shared" ref="AP12" si="3">IF(INT(AO12/2000)&gt;=1,INT(AO12/2000)&amp;" thùng + "&amp;MOD(AO12,2000)/100&amp;" túi ",VALUE(AO12/100)&amp;"túi")</f>
        <v>0túi</v>
      </c>
      <c r="AQ12" s="386"/>
      <c r="AR12" s="244"/>
      <c r="AS12" s="385" t="str">
        <f t="shared" ref="AS12:AV12" si="4">IF(INT(AR12/2000)&gt;=1,INT(AR12/2000)&amp;" thùng + "&amp;MOD(AR12,2000)/100&amp;" túi ",VALUE(AR12/100)&amp;"túi")</f>
        <v>0túi</v>
      </c>
      <c r="AT12" s="386"/>
      <c r="AU12" s="244">
        <v>400</v>
      </c>
      <c r="AV12" s="385" t="str">
        <f t="shared" si="4"/>
        <v>4túi</v>
      </c>
      <c r="AW12" s="297"/>
    </row>
    <row r="13" spans="1:133" s="88" customFormat="1" ht="14.25" customHeight="1">
      <c r="A13" s="852" t="s">
        <v>51</v>
      </c>
      <c r="B13" s="853">
        <v>900</v>
      </c>
      <c r="C13" s="854" t="str">
        <f>IF(INT(B13/600)&gt;=1,INT(B13/600)&amp;" thùng + "&amp;MOD(B13,600)/100&amp;" túi ",VALUE(B13/100)&amp;"túi")</f>
        <v xml:space="preserve">1 thùng + 3 túi </v>
      </c>
      <c r="D13" s="855"/>
      <c r="E13" s="856" t="s">
        <v>51</v>
      </c>
      <c r="F13" s="853">
        <v>1400</v>
      </c>
      <c r="G13" s="854" t="str">
        <f>IF(INT(F13/600)&gt;=1,INT(F13/600)&amp;" thùng + "&amp;MOD(F13,600)/100&amp;" túi ",VALUE(F13/100)&amp;"túi")</f>
        <v xml:space="preserve">2 thùng + 2 túi </v>
      </c>
      <c r="H13" s="857"/>
      <c r="I13" s="860"/>
      <c r="J13" s="852" t="s">
        <v>51</v>
      </c>
      <c r="K13" s="853">
        <v>700</v>
      </c>
      <c r="L13" s="859" t="str">
        <f>IF(INT(K13/600)&gt;=1,INT(K13/600)&amp;" thùng + "&amp;MOD(K13,600)/100&amp;" túi ",VALUE(K13/100)&amp;"túi")</f>
        <v xml:space="preserve">1 thùng + 1 túi </v>
      </c>
      <c r="M13" s="861"/>
      <c r="N13" s="856"/>
      <c r="O13" s="862"/>
      <c r="P13" s="862"/>
      <c r="Q13" s="863"/>
      <c r="R13" s="860"/>
      <c r="S13" s="852" t="s">
        <v>51</v>
      </c>
      <c r="T13" s="853"/>
      <c r="U13" s="854"/>
      <c r="V13" s="855"/>
      <c r="W13" s="853">
        <v>1400</v>
      </c>
      <c r="X13" s="854" t="str">
        <f>IF(INT(W13/600)&gt;=1,INT(W13/600)&amp;" thùng + "&amp;MOD(W13,600)/100&amp;" túi ",VALUE(W13/100)&amp;"túi")</f>
        <v xml:space="preserve">2 thùng + 2 túi </v>
      </c>
      <c r="Y13" s="855"/>
      <c r="Z13" s="864">
        <v>700</v>
      </c>
      <c r="AA13" s="854" t="str">
        <f>IF(INT(Z13/600)&gt;=1,INT(Z13/600)&amp;" thùng + "&amp;MOD(Z13,600)&amp;" cái ",VALUE(Z13)&amp;"cái")</f>
        <v xml:space="preserve">1 thùng + 100 cái </v>
      </c>
      <c r="AB13" s="865"/>
      <c r="AC13" s="866"/>
      <c r="AD13" s="867" t="s">
        <v>51</v>
      </c>
      <c r="AE13" s="868">
        <v>100</v>
      </c>
      <c r="AF13" s="854" t="str">
        <f>IF(INT(AE13/600)&gt;=1,INT(AE13/600)&amp;" thùng + "&amp;MOD(AE13,600)&amp;" cái ",VALUE(AE13/100)&amp;"túi")</f>
        <v>1túi</v>
      </c>
      <c r="AG13" s="855"/>
      <c r="AH13" s="853">
        <v>400</v>
      </c>
      <c r="AI13" s="854" t="str">
        <f>IF(INT(AH13/600)&gt;=1,INT(AH13/600)&amp;" thùng + "&amp;MOD(AH13,600)/100&amp;" túi ",VALUE(AH13/100)&amp;"túi")</f>
        <v>4túi</v>
      </c>
      <c r="AJ13" s="855"/>
      <c r="AK13" s="869"/>
      <c r="AL13" s="863"/>
      <c r="AM13" s="870"/>
      <c r="AN13" s="852" t="s">
        <v>51</v>
      </c>
      <c r="AO13" s="853"/>
      <c r="AP13" s="854"/>
      <c r="AQ13" s="855"/>
      <c r="AR13" s="853"/>
      <c r="AS13" s="854"/>
      <c r="AT13" s="855"/>
      <c r="AU13" s="853"/>
      <c r="AV13" s="854"/>
      <c r="AW13" s="87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</row>
    <row r="14" spans="1:133" ht="14.25" customHeight="1">
      <c r="A14" s="105" t="s">
        <v>52</v>
      </c>
      <c r="B14" s="242">
        <v>900</v>
      </c>
      <c r="C14" s="277" t="str">
        <f>IF(INT(B14/400)&gt;=1,INT(B14/400)&amp;" thùng + "&amp;MOD(B14,400)/100&amp;" túi ",VALUE(B14/100)&amp;"túi")</f>
        <v xml:space="preserve">2 thùng + 1 túi </v>
      </c>
      <c r="D14" s="291"/>
      <c r="E14" s="71" t="s">
        <v>52</v>
      </c>
      <c r="F14" s="244">
        <v>1400</v>
      </c>
      <c r="G14" s="277" t="str">
        <f>IF(INT(F14/400)&gt;=1,INT(F14/400)&amp;" thùng + "&amp;MOD(F14,400)/100&amp;" túi ",VALUE(F14/100)&amp;"túi")</f>
        <v xml:space="preserve">3 thùng + 2 túi </v>
      </c>
      <c r="H14" s="345"/>
      <c r="J14" s="105" t="s">
        <v>52</v>
      </c>
      <c r="K14" s="242">
        <v>700</v>
      </c>
      <c r="L14" s="278" t="str">
        <f>IF(INT(K14/400)&gt;=1,INT(K14/400)&amp;" thùng + "&amp;MOD(K14,400)/100&amp;" túi ",VALUE(K14/100)&amp;"túi")</f>
        <v xml:space="preserve">1 thùng + 3 túi </v>
      </c>
      <c r="M14" s="292"/>
      <c r="N14" s="71"/>
      <c r="O14" s="71"/>
      <c r="P14" s="71"/>
      <c r="Q14" s="102"/>
      <c r="S14" s="105" t="s">
        <v>52</v>
      </c>
      <c r="T14" s="244"/>
      <c r="U14" s="278"/>
      <c r="V14" s="292"/>
      <c r="W14" s="242">
        <v>1400</v>
      </c>
      <c r="X14" s="278" t="str">
        <f>IF(INT(W14/400)&gt;=1,INT(W14/400)&amp;" thùng + "&amp;MOD(W14,400)/100&amp;" túi ",VALUE(W14/100)&amp;"túi")</f>
        <v xml:space="preserve">3 thùng + 2 túi </v>
      </c>
      <c r="Y14" s="292"/>
      <c r="Z14" s="244">
        <v>700</v>
      </c>
      <c r="AA14" s="278" t="str">
        <f>IF(INT(Z14/400)&gt;=1,INT(Z14/400)&amp;" thùng + "&amp;MOD(Z14,400)&amp;" cái ",VALUE(Z14/100)&amp;"túi")</f>
        <v xml:space="preserve">1 thùng + 300 cái </v>
      </c>
      <c r="AB14" s="397"/>
      <c r="AC14" s="422"/>
      <c r="AD14" s="100" t="s">
        <v>52</v>
      </c>
      <c r="AE14" s="244">
        <v>100</v>
      </c>
      <c r="AF14" s="277" t="str">
        <f>IF(INT(AE14/600)&gt;=1,INT(AE14/600)&amp;" thùng + "&amp;MOD(AE14,600)&amp;" cái ",VALUE(AE14/100)&amp;"túi")</f>
        <v>1túi</v>
      </c>
      <c r="AG14" s="294"/>
      <c r="AH14" s="244">
        <v>400</v>
      </c>
      <c r="AI14" s="278" t="str">
        <f>IF(INT(AH14/400)&gt;=1,INT(AH14/400)&amp;" thùng + "&amp;MOD(AH14,400)/100&amp;" túi ",VALUE(AH14/100)&amp;"túi")</f>
        <v xml:space="preserve">1 thùng + 0 túi </v>
      </c>
      <c r="AJ14" s="291"/>
      <c r="AK14" s="246"/>
      <c r="AL14" s="102"/>
      <c r="AM14" s="417"/>
      <c r="AN14" s="105" t="s">
        <v>52</v>
      </c>
      <c r="AO14" s="244"/>
      <c r="AP14" s="280"/>
      <c r="AQ14" s="294"/>
      <c r="AR14" s="244"/>
      <c r="AS14" s="280"/>
      <c r="AT14" s="294"/>
      <c r="AU14" s="244"/>
      <c r="AV14" s="280"/>
      <c r="AW14" s="295"/>
    </row>
    <row r="15" spans="1:133" s="88" customFormat="1" ht="14.25" customHeight="1">
      <c r="A15" s="117" t="s">
        <v>61</v>
      </c>
      <c r="B15" s="242">
        <v>900</v>
      </c>
      <c r="C15" s="277" t="str">
        <f>IF(INT(B15/600)&gt;=1,INT(B15/600)&amp;" thùng + "&amp;MOD(B15,600)/100&amp;" túi ",VALUE(B15/100)&amp;"túi")</f>
        <v xml:space="preserve">1 thùng + 3 túi </v>
      </c>
      <c r="D15" s="291"/>
      <c r="E15" s="81" t="s">
        <v>61</v>
      </c>
      <c r="F15" s="242">
        <v>1400</v>
      </c>
      <c r="G15" s="277" t="str">
        <f>IF(INT(F15/600)&gt;=1,INT(F15/600)&amp;" thùng + "&amp;MOD(F15,600)/100&amp;" túi ",VALUE(F15/100)&amp;"túi")</f>
        <v xml:space="preserve">2 thùng + 2 túi </v>
      </c>
      <c r="H15" s="344"/>
      <c r="J15" s="117" t="s">
        <v>61</v>
      </c>
      <c r="K15" s="242">
        <v>700</v>
      </c>
      <c r="L15" s="278" t="str">
        <f>IF(INT(K15/600)&gt;=1,INT(K15/600)&amp;" thùng + "&amp;MOD(K15,600)/100&amp;" túi ",VALUE(K15/100)&amp;"túi")</f>
        <v xml:space="preserve">1 thùng + 1 túi </v>
      </c>
      <c r="M15" s="292"/>
      <c r="N15" s="81"/>
      <c r="O15" s="81"/>
      <c r="P15" s="81"/>
      <c r="Q15" s="91"/>
      <c r="S15" s="117" t="s">
        <v>61</v>
      </c>
      <c r="T15" s="242"/>
      <c r="U15" s="277"/>
      <c r="V15" s="291"/>
      <c r="W15" s="242">
        <v>1400</v>
      </c>
      <c r="X15" s="277" t="str">
        <f>IF(INT(W15/600)&gt;=1,INT(W15/600)&amp;" thùng + "&amp;MOD(W15,600)/100&amp;" túi ",VALUE(W15/100)&amp;"túi")</f>
        <v xml:space="preserve">2 thùng + 2 túi </v>
      </c>
      <c r="Y15" s="291"/>
      <c r="Z15" s="244">
        <v>700</v>
      </c>
      <c r="AA15" s="277" t="str">
        <f>IF(INT(Z15/600)&gt;=1,INT(Z15/600)&amp;" thùng + "&amp;MOD(Z15,600)&amp;" cái ",VALUE(Z15)&amp;"cái")</f>
        <v xml:space="preserve">1 thùng + 100 cái </v>
      </c>
      <c r="AB15" s="398"/>
      <c r="AC15" s="423"/>
      <c r="AD15" s="116" t="s">
        <v>61</v>
      </c>
      <c r="AE15" s="242">
        <v>100</v>
      </c>
      <c r="AF15" s="277" t="str">
        <f>IF(INT(AE15/600)&gt;=1,INT(AE15/600)&amp;" thùng + "&amp;MOD(AE15,600)&amp;" cái ",VALUE(AE15/100)&amp;"túi")</f>
        <v>1túi</v>
      </c>
      <c r="AG15" s="293"/>
      <c r="AH15" s="242">
        <v>400</v>
      </c>
      <c r="AI15" s="277" t="str">
        <f>IF(INT(AH15/600)&gt;=1,INT(AH15/600)&amp;" thùng + "&amp;MOD(AH15,600)/100&amp;" túi ",VALUE(AH15/100)&amp;"túi")</f>
        <v>4túi</v>
      </c>
      <c r="AJ15" s="291"/>
      <c r="AK15" s="227"/>
      <c r="AL15" s="91"/>
      <c r="AM15" s="430"/>
      <c r="AN15" s="117" t="s">
        <v>61</v>
      </c>
      <c r="AO15" s="242"/>
      <c r="AP15" s="279"/>
      <c r="AQ15" s="293"/>
      <c r="AR15" s="242"/>
      <c r="AS15" s="279"/>
      <c r="AT15" s="293"/>
      <c r="AU15" s="242"/>
      <c r="AV15" s="279"/>
      <c r="AW15" s="298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</row>
    <row r="16" spans="1:133" ht="14.25" customHeight="1">
      <c r="A16" s="105" t="s">
        <v>62</v>
      </c>
      <c r="B16" s="242">
        <v>900</v>
      </c>
      <c r="C16" s="277" t="str">
        <f>IF(INT(B16/400)&gt;=1,INT(B16/400)&amp;" thùng + "&amp;MOD(B16,400)/100&amp;" túi ",VALUE(B16/100)&amp;"túi")</f>
        <v xml:space="preserve">2 thùng + 1 túi </v>
      </c>
      <c r="D16" s="311"/>
      <c r="E16" s="71" t="s">
        <v>62</v>
      </c>
      <c r="F16" s="244">
        <v>1400</v>
      </c>
      <c r="G16" s="277" t="str">
        <f>IF(INT(F16/400)&gt;=1,INT(F16/400)&amp;" thùng + "&amp;MOD(F16,400)/100&amp;" túi ",VALUE(F16/100)&amp;"túi")</f>
        <v xml:space="preserve">3 thùng + 2 túi </v>
      </c>
      <c r="H16" s="345"/>
      <c r="J16" s="105" t="s">
        <v>62</v>
      </c>
      <c r="K16" s="242">
        <v>700</v>
      </c>
      <c r="L16" s="278" t="str">
        <f>IF(INT(K16/400)&gt;=1,INT(K16/400)&amp;" thùng + "&amp;MOD(K16,400)/100&amp;" túi ",VALUE(K16/100)&amp;"túi")</f>
        <v xml:space="preserve">1 thùng + 3 túi </v>
      </c>
      <c r="M16" s="292"/>
      <c r="N16" s="71"/>
      <c r="O16" s="104"/>
      <c r="P16" s="71"/>
      <c r="Q16" s="102"/>
      <c r="S16" s="105" t="s">
        <v>62</v>
      </c>
      <c r="T16" s="244"/>
      <c r="U16" s="278"/>
      <c r="V16" s="292"/>
      <c r="W16" s="242">
        <v>1400</v>
      </c>
      <c r="X16" s="278" t="str">
        <f>IF(INT(W16/400)&gt;=1,INT(W16/400)&amp;" thùng + "&amp;MOD(W16,400)/100&amp;" túi ",VALUE(W16/100)&amp;"túi")</f>
        <v xml:space="preserve">3 thùng + 2 túi </v>
      </c>
      <c r="Y16" s="292"/>
      <c r="Z16" s="244">
        <v>700</v>
      </c>
      <c r="AA16" s="278" t="str">
        <f>IF(INT(Z16/400)&gt;=1,INT(Z16/400)&amp;" thùng + "&amp;MOD(Z16,400)&amp;" cái ",VALUE(Z16/100)&amp;"túi")</f>
        <v xml:space="preserve">1 thùng + 300 cái </v>
      </c>
      <c r="AB16" s="397"/>
      <c r="AC16" s="422"/>
      <c r="AD16" s="100" t="s">
        <v>62</v>
      </c>
      <c r="AE16" s="244">
        <v>100</v>
      </c>
      <c r="AF16" s="277" t="str">
        <f>IF(INT(AE16/600)&gt;=1,INT(AE16/600)&amp;" thùng + "&amp;MOD(AE16,600)&amp;" cái ",VALUE(AE16/100)&amp;"túi")</f>
        <v>1túi</v>
      </c>
      <c r="AG16" s="294"/>
      <c r="AH16" s="244">
        <v>400</v>
      </c>
      <c r="AI16" s="278" t="str">
        <f>IF(INT(AH16/400)&gt;=1,INT(AH16/400)&amp;" thùng + "&amp;MOD(AH16,400)/100&amp;" túi ",VALUE(AH16/100)&amp;"túi")</f>
        <v xml:space="preserve">1 thùng + 0 túi </v>
      </c>
      <c r="AJ16" s="291"/>
      <c r="AK16" s="246"/>
      <c r="AL16" s="102"/>
      <c r="AM16" s="417"/>
      <c r="AN16" s="105" t="s">
        <v>62</v>
      </c>
      <c r="AO16" s="244"/>
      <c r="AP16" s="280"/>
      <c r="AQ16" s="294"/>
      <c r="AR16" s="244"/>
      <c r="AS16" s="280"/>
      <c r="AT16" s="294"/>
      <c r="AU16" s="244"/>
      <c r="AV16" s="280"/>
      <c r="AW16" s="295"/>
    </row>
    <row r="17" spans="1:133" s="88" customFormat="1" ht="14.25" customHeight="1">
      <c r="A17" s="117" t="s">
        <v>74</v>
      </c>
      <c r="B17" s="242">
        <v>900</v>
      </c>
      <c r="C17" s="277" t="str">
        <f>IF(INT(B17/200)&gt;=1,INT(B17/200)&amp;" thùng + "&amp;MOD(B17,200)/50&amp;" túi ",VALUE(B17/50)&amp;"túi")</f>
        <v xml:space="preserve">4 thùng + 2 túi </v>
      </c>
      <c r="D17" s="291"/>
      <c r="E17" s="81" t="s">
        <v>74</v>
      </c>
      <c r="F17" s="242">
        <v>1400</v>
      </c>
      <c r="G17" s="277" t="str">
        <f>IF(INT(F17/200)&gt;=1,INT(F17/200)&amp;" thùng + "&amp;MOD(F17,200)/50&amp;" túi ",VALUE(F17/50)&amp;"túi")</f>
        <v xml:space="preserve">7 thùng + 0 túi </v>
      </c>
      <c r="H17" s="346"/>
      <c r="J17" s="117" t="s">
        <v>74</v>
      </c>
      <c r="K17" s="242">
        <v>700</v>
      </c>
      <c r="L17" s="277" t="str">
        <f>IF(INT(K17/200)&gt;=1,INT(K17/200)&amp;" thùng + "&amp;MOD(K17,200)/50&amp;" túi ",VALUE(K17/50)&amp;"túi")</f>
        <v xml:space="preserve">3 thùng + 2 túi </v>
      </c>
      <c r="M17" s="291"/>
      <c r="N17" s="81"/>
      <c r="O17" s="81"/>
      <c r="P17" s="81"/>
      <c r="Q17" s="91"/>
      <c r="S17" s="117" t="s">
        <v>74</v>
      </c>
      <c r="T17" s="242"/>
      <c r="U17" s="277"/>
      <c r="V17" s="291"/>
      <c r="W17" s="242">
        <v>800</v>
      </c>
      <c r="X17" s="277" t="str">
        <f>IF(INT(W17/200)&gt;=1,INT(W17/200)&amp;" thùng + "&amp;MOD(W17,200)/50&amp;" túi ",VALUE(W17/50)&amp;"túi")</f>
        <v xml:space="preserve">4 thùng + 0 túi </v>
      </c>
      <c r="Y17" s="291"/>
      <c r="Z17" s="244">
        <v>700</v>
      </c>
      <c r="AA17" s="277" t="str">
        <f>IF(INT(Z17/200)&gt;=1,INT(Z17/200)&amp;" thùng + "&amp;MOD(Z17,200)&amp;" cái ",VALUE(Z17/50)&amp;"túi")</f>
        <v xml:space="preserve">3 thùng + 100 cái </v>
      </c>
      <c r="AB17" s="398"/>
      <c r="AC17" s="423"/>
      <c r="AD17" s="116" t="s">
        <v>74</v>
      </c>
      <c r="AE17" s="242">
        <v>100</v>
      </c>
      <c r="AF17" s="277" t="str">
        <f>IF(INT(AE17/200)&gt;=1,INT(AE17/200)&amp;" thùng + "&amp;MOD(AE17,200)/50&amp;" túi",VALUE(AE17/50)&amp;"túi")</f>
        <v>2túi</v>
      </c>
      <c r="AG17" s="293"/>
      <c r="AH17" s="244">
        <v>400</v>
      </c>
      <c r="AI17" s="277" t="str">
        <f>IF(INT(AH17/200)&gt;=1,INT(AH17/200)&amp;" thùng + "&amp;MOD(AH17,200)/50&amp;" túi ",VALUE(AH17/50)&amp;"túi")</f>
        <v xml:space="preserve">2 thùng + 0 túi </v>
      </c>
      <c r="AJ17" s="291"/>
      <c r="AK17" s="227"/>
      <c r="AL17" s="91"/>
      <c r="AM17" s="430"/>
      <c r="AN17" s="117" t="s">
        <v>74</v>
      </c>
      <c r="AO17" s="242">
        <v>400</v>
      </c>
      <c r="AP17" s="277" t="str">
        <f>IF(INT(AO17/200)&gt;=1,INT(AO17/200)&amp;" thùng + "&amp;MOD(AO17,200)/50&amp;" túi",VALUE(AO17/50)&amp;"túi")</f>
        <v>2 thùng + 0 túi</v>
      </c>
      <c r="AQ17" s="291"/>
      <c r="AR17" s="242"/>
      <c r="AS17" s="277" t="str">
        <f>IF(INT(AR17/200)&gt;=1,INT(AR17/200)&amp;" thùng + "&amp;MOD(AR17,200)/50&amp;" túi",VALUE(AR17/50)&amp;"túi")</f>
        <v>0túi</v>
      </c>
      <c r="AT17" s="291"/>
      <c r="AU17" s="242"/>
      <c r="AV17" s="279"/>
      <c r="AW17" s="298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</row>
    <row r="18" spans="1:133" ht="14.25" customHeight="1">
      <c r="A18" s="103" t="s">
        <v>81</v>
      </c>
      <c r="B18" s="242" t="s">
        <v>413</v>
      </c>
      <c r="C18" s="277" t="e">
        <f>IF(INT(B18/1200)&gt;=1,INT(B18/1200)&amp;" thùng + "&amp;MOD(B18,1200)/100&amp;" túi ",VALUE(B18/100)&amp;"túi")</f>
        <v>#VALUE!</v>
      </c>
      <c r="D18" s="291"/>
      <c r="E18" s="120" t="s">
        <v>81</v>
      </c>
      <c r="F18" s="244">
        <v>1400</v>
      </c>
      <c r="G18" s="277" t="str">
        <f>IF(INT(F18/1200)&gt;=1,INT(F18/1200)&amp;" thùng + "&amp;MOD(F18,1200)/100&amp;" túi ",VALUE(F18/100)&amp;"túi")</f>
        <v xml:space="preserve">1 thùng + 2 túi </v>
      </c>
      <c r="H18" s="347"/>
      <c r="J18" s="103" t="s">
        <v>81</v>
      </c>
      <c r="K18" s="242">
        <v>700</v>
      </c>
      <c r="L18" s="278" t="str">
        <f>IF(INT(K18/1200)&gt;=1,INT(K18/1200)&amp;" thùng + "&amp;MOD(K18,1200)/100&amp;" túi ",VALUE(K18/100)&amp;"túi")</f>
        <v>7túi</v>
      </c>
      <c r="M18" s="292"/>
      <c r="N18" s="120"/>
      <c r="O18" s="71"/>
      <c r="P18" s="71"/>
      <c r="Q18" s="102"/>
      <c r="S18" s="103" t="s">
        <v>75</v>
      </c>
      <c r="T18" s="244"/>
      <c r="U18" s="278"/>
      <c r="V18" s="292"/>
      <c r="W18" s="244">
        <v>600</v>
      </c>
      <c r="X18" s="278" t="str">
        <f>IF(INT(W18/200)&gt;=1,INT(W18/200)&amp;" thùng + "&amp;MOD(W18,200)/50&amp;" túi ",VALUE(W18/50)&amp;"túi")</f>
        <v xml:space="preserve">3 thùng + 0 túi </v>
      </c>
      <c r="Y18" s="292"/>
      <c r="Z18" s="244"/>
      <c r="AA18" s="278" t="str">
        <f>IF(INT(Z18/600)&gt;=1,INT(Z18/600)&amp;" thùng + "&amp;MOD(Z18,600)&amp;" cái ",VALUE(Z18/100)&amp;"túi")</f>
        <v>0túi</v>
      </c>
      <c r="AB18" s="397"/>
      <c r="AC18" s="422"/>
      <c r="AD18" s="115" t="s">
        <v>81</v>
      </c>
      <c r="AE18" s="449">
        <v>900</v>
      </c>
      <c r="AF18" s="278" t="str">
        <f>IF(INT(AE18/1200)&gt;=1,INT(AE18/1200)&amp;" thùng + "&amp;MOD(AE18,1200)/100&amp;" túi ",VALUE(AE18/100)&amp;"túi")</f>
        <v>9túi</v>
      </c>
      <c r="AG18" s="292"/>
      <c r="AH18" s="244"/>
      <c r="AI18" s="277" t="str">
        <f>IF(INT(AH18/600)&gt;=1,INT(AH18/600)&amp;" thùng + "&amp;MOD(AH18,600)&amp;" cái ",VALUE(AH18/100)&amp;"túi")</f>
        <v>0túi</v>
      </c>
      <c r="AJ18" s="292"/>
      <c r="AK18" s="246"/>
      <c r="AL18" s="102"/>
      <c r="AM18" s="417"/>
      <c r="AN18" s="103" t="s">
        <v>81</v>
      </c>
      <c r="AO18" s="441"/>
      <c r="AP18" s="278" t="str">
        <f>IF(INT(AO18/1200)&gt;=1,INT(AO18/1200)&amp;" thùng + "&amp;MOD(AO18,1200)/100&amp;" túi ",VALUE(AO18/100)&amp;"túi")</f>
        <v>0túi</v>
      </c>
      <c r="AQ18" s="294"/>
      <c r="AR18" s="244"/>
      <c r="AS18" s="280"/>
      <c r="AT18" s="294"/>
      <c r="AU18" s="244"/>
      <c r="AV18" s="280"/>
      <c r="AW18" s="295"/>
    </row>
    <row r="19" spans="1:133" s="88" customFormat="1" ht="14.25" customHeight="1">
      <c r="A19" s="117" t="s">
        <v>113</v>
      </c>
      <c r="B19" s="242">
        <v>8600</v>
      </c>
      <c r="C19" s="277" t="str">
        <f>IF(INT(B19/4000)&gt;=1,INT(B19/4000)&amp;" thùng + "&amp;MOD(B19,4000)/100&amp;" túi ",VALUE(B19/100)&amp;"túi")</f>
        <v xml:space="preserve">2 thùng + 6 túi </v>
      </c>
      <c r="D19" s="291"/>
      <c r="E19" s="81" t="s">
        <v>113</v>
      </c>
      <c r="F19" s="242">
        <v>18300</v>
      </c>
      <c r="G19" s="277" t="str">
        <f>IF(INT(F19/4000)&gt;=1,INT(F19/4000)&amp;" thùng + "&amp;MOD(F19,4000)/100&amp;" túi ",VALUE(F19/100)&amp;"túi")</f>
        <v xml:space="preserve">4 thùng + 23 túi </v>
      </c>
      <c r="H19" s="346"/>
      <c r="J19" s="234" t="s">
        <v>113</v>
      </c>
      <c r="K19" s="242">
        <v>18500</v>
      </c>
      <c r="L19" s="277" t="str">
        <f>IF(INT(K19/4000)&gt;=1,INT(K19/4000)&amp;" thùng + "&amp;MOD(K19,4000)/100&amp;" túi ",VALUE(K19/100)&amp;"túi")</f>
        <v xml:space="preserve">4 thùng + 25 túi </v>
      </c>
      <c r="M19" s="291"/>
      <c r="N19" s="81"/>
      <c r="O19" s="81"/>
      <c r="P19" s="81"/>
      <c r="Q19" s="91"/>
      <c r="S19" s="114" t="s">
        <v>113</v>
      </c>
      <c r="T19" s="242"/>
      <c r="U19" s="277"/>
      <c r="V19" s="291"/>
      <c r="W19" s="242">
        <v>9400</v>
      </c>
      <c r="X19" s="277" t="str">
        <f>IF(INT(W19/4000)&gt;=1,INT(W19/4000)&amp;" thùng + "&amp;MOD(W19,4000)&amp;" cái ",VALUE(W19/100)&amp;"túi")</f>
        <v xml:space="preserve">2 thùng + 1400 cái </v>
      </c>
      <c r="Y19" s="291"/>
      <c r="Z19" s="244">
        <v>12220</v>
      </c>
      <c r="AA19" s="278" t="str">
        <f>IF(INT(Z19/4000)&gt;=1,INT(Z19/4000)&amp;" thùng + "&amp;MOD(Z19,4000)/100&amp;" túi ",VALUE(Z19/100)&amp;"túi")</f>
        <v xml:space="preserve">3 thùng + 2.2 túi </v>
      </c>
      <c r="AB19" s="399"/>
      <c r="AC19" s="423"/>
      <c r="AD19" s="412" t="s">
        <v>113</v>
      </c>
      <c r="AE19" s="242">
        <v>800</v>
      </c>
      <c r="AF19" s="277" t="str">
        <f>IF(INT(AE19/4000)&gt;=1,INT(AE19/4000)&amp;" thùng + "&amp;MOD(AE19,4000)&amp;" cái ",VALUE(AE19/100)&amp;"túi")</f>
        <v>8túi</v>
      </c>
      <c r="AG19" s="293"/>
      <c r="AH19" s="242">
        <v>2800</v>
      </c>
      <c r="AI19" s="277" t="str">
        <f>IF(INT(AH19/4000)&gt;=1,INT(AH19/4000)&amp;" thùng + "&amp;MOD(AH19,4000)&amp;" cái ",VALUE(AH19/100)&amp;"túi")</f>
        <v>28túi</v>
      </c>
      <c r="AJ19" s="291"/>
      <c r="AK19" s="227"/>
      <c r="AL19" s="91"/>
      <c r="AM19" s="430"/>
      <c r="AN19" s="234" t="s">
        <v>113</v>
      </c>
      <c r="AO19" s="242"/>
      <c r="AP19" s="279"/>
      <c r="AQ19" s="293"/>
      <c r="AR19" s="242">
        <v>200</v>
      </c>
      <c r="AS19" s="277" t="str">
        <f>IF(INT(AR19/4000)&gt;=1,INT(AR19/4000)&amp;" thùng + "&amp;MOD(AR19,4000)&amp;" cái ",VALUE(AR19/100)&amp;"túi")</f>
        <v>2túi</v>
      </c>
      <c r="AT19" s="291"/>
      <c r="AU19" s="242"/>
      <c r="AV19" s="279"/>
      <c r="AW19" s="298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</row>
    <row r="20" spans="1:133" ht="14.25" customHeight="1">
      <c r="A20" s="105" t="s">
        <v>80</v>
      </c>
      <c r="B20" s="244"/>
      <c r="C20" s="278" t="str">
        <f>IF(INT(B20/2000)&gt;=1,INT(B20/2000)&amp;" thùng + "&amp;MOD(B20,2000)/100&amp;" túi ",VALUE(B20/100)&amp;"túi")</f>
        <v>0túi</v>
      </c>
      <c r="D20" s="292"/>
      <c r="E20" s="120"/>
      <c r="F20" s="244"/>
      <c r="G20" s="71"/>
      <c r="H20" s="347"/>
      <c r="J20" s="103" t="s">
        <v>80</v>
      </c>
      <c r="K20" s="244">
        <v>600</v>
      </c>
      <c r="L20" s="278" t="str">
        <f>IF(INT(K20/2000)&gt;=1,INT(K20/2000)&amp;" thùng + "&amp;MOD(K20,2000)/100&amp;" túi ",VALUE(K20/100)&amp;"túi")</f>
        <v>6túi</v>
      </c>
      <c r="M20" s="292"/>
      <c r="N20" s="71"/>
      <c r="O20" s="71"/>
      <c r="P20" s="71"/>
      <c r="Q20" s="102"/>
      <c r="S20" s="105" t="s">
        <v>237</v>
      </c>
      <c r="T20" s="248"/>
      <c r="U20" s="278"/>
      <c r="V20" s="292"/>
      <c r="W20" s="244"/>
      <c r="X20" s="278" t="str">
        <f>IF(INT(W20/3000)&gt;=1,INT(W20/3000)&amp;" thùng + "&amp;MOD(W20,3000)/100&amp;" túi ",VALUE(W20/100)&amp;"túi")</f>
        <v>0túi</v>
      </c>
      <c r="Y20" s="292"/>
      <c r="Z20" s="244"/>
      <c r="AA20" s="278" t="str">
        <f>IF(INT(Z20/400)&gt;=1,INT(Z20/400)&amp;" thùng + "&amp;MOD(Z20,400)/100&amp;" túi ",VALUE(Z20/100)&amp;"túi")</f>
        <v>0túi</v>
      </c>
      <c r="AB20" s="397"/>
      <c r="AC20" s="422"/>
      <c r="AD20" s="115" t="s">
        <v>80</v>
      </c>
      <c r="AE20" s="244"/>
      <c r="AF20" s="280"/>
      <c r="AG20" s="294"/>
      <c r="AH20" s="244">
        <v>800</v>
      </c>
      <c r="AI20" s="278" t="str">
        <f>IF(INT(AH20/2000)&gt;=1,INT(AH20/2000)&amp;" thùng + "&amp;MOD(AH20,2000)/100&amp;" túi ",VALUE(AH20/100)&amp;"túi")</f>
        <v>8túi</v>
      </c>
      <c r="AJ20" s="292"/>
      <c r="AK20" s="246"/>
      <c r="AL20" s="102"/>
      <c r="AM20" s="417"/>
      <c r="AN20" s="103" t="s">
        <v>80</v>
      </c>
      <c r="AO20" s="244"/>
      <c r="AP20" s="280"/>
      <c r="AQ20" s="294"/>
      <c r="AR20" s="244"/>
      <c r="AS20" s="280"/>
      <c r="AT20" s="294"/>
      <c r="AU20" s="244"/>
      <c r="AV20" s="280"/>
      <c r="AW20" s="295"/>
    </row>
    <row r="21" spans="1:133" s="88" customFormat="1" ht="14.25" customHeight="1">
      <c r="A21" s="114" t="s">
        <v>56</v>
      </c>
      <c r="B21" s="242"/>
      <c r="C21" s="277" t="str">
        <f>IF(INT(B21/100)&gt;=1,INT(B21/100)&amp;" thùng + "&amp;MOD(B21,100)/100&amp;" túi ",VALUE(B21/100)&amp;"túi")</f>
        <v>0túi</v>
      </c>
      <c r="D21" s="291"/>
      <c r="E21" s="119"/>
      <c r="F21" s="242"/>
      <c r="G21" s="81"/>
      <c r="H21" s="346"/>
      <c r="J21" s="117" t="s">
        <v>56</v>
      </c>
      <c r="K21" s="242">
        <v>600</v>
      </c>
      <c r="L21" s="363" t="str">
        <f>IF(INT(K21/100)&gt;=1,INT(K21/100)&amp;" thùng + "&amp;MOD(K21,100)&amp;" cái ",VALUE(K21/100)&amp;"cái")</f>
        <v xml:space="preserve">6 thùng + 0 cái </v>
      </c>
      <c r="M21" s="291"/>
      <c r="N21" s="81"/>
      <c r="O21" s="81"/>
      <c r="P21" s="81"/>
      <c r="Q21" s="91"/>
      <c r="S21" s="117" t="s">
        <v>47</v>
      </c>
      <c r="T21" s="242"/>
      <c r="U21" s="277"/>
      <c r="V21" s="291"/>
      <c r="W21" s="242"/>
      <c r="X21" s="277" t="str">
        <f>IF(INT(W21/500)&gt;=1,INT(W21/500)&amp;" thùng + "&amp;MOD(W21,500)/100&amp;" túi ",VALUE(W21/100)&amp;"túi")</f>
        <v>0túi</v>
      </c>
      <c r="Y21" s="291"/>
      <c r="Z21" s="244">
        <v>80</v>
      </c>
      <c r="AA21" s="278" t="str">
        <f>IF(INT(Z21/400)&gt;=1,INT(Z21/400)&amp;" thùng + "&amp;MOD(Z21,400)/100&amp;" túi ",VALUE(Z21/100)&amp;"túi")</f>
        <v>0.8túi</v>
      </c>
      <c r="AB21" s="398"/>
      <c r="AC21" s="423"/>
      <c r="AD21" s="116" t="s">
        <v>56</v>
      </c>
      <c r="AE21" s="250"/>
      <c r="AF21" s="286"/>
      <c r="AG21" s="305"/>
      <c r="AH21" s="250">
        <v>800</v>
      </c>
      <c r="AI21" s="277" t="str">
        <f>IF(INT(AH21/100)&gt;=1,INT(AH21/100)&amp;" thùng + "&amp;MOD(AH21,100)/100&amp;" túi ",VALUE(AH21/100)&amp;"túi")</f>
        <v xml:space="preserve">8 thùng + 0 túi </v>
      </c>
      <c r="AJ21" s="312"/>
      <c r="AK21" s="254"/>
      <c r="AL21" s="126"/>
      <c r="AM21" s="430"/>
      <c r="AN21" s="117" t="s">
        <v>56</v>
      </c>
      <c r="AO21" s="250"/>
      <c r="AP21" s="286"/>
      <c r="AQ21" s="305"/>
      <c r="AR21" s="242"/>
      <c r="AS21" s="279"/>
      <c r="AT21" s="293"/>
      <c r="AU21" s="242"/>
      <c r="AV21" s="279"/>
      <c r="AW21" s="298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</row>
    <row r="22" spans="1:133" ht="14.25" customHeight="1">
      <c r="A22" s="105" t="s">
        <v>1</v>
      </c>
      <c r="B22" s="244"/>
      <c r="C22" s="278" t="str">
        <f>IF(INT(B22/100)&gt;=1,INT(B22/100)&amp;" thùng + "&amp;MOD(B22,100)/100&amp;" túi ",VALUE(B22/100)&amp;"túi")</f>
        <v>0túi</v>
      </c>
      <c r="D22" s="292"/>
      <c r="E22" s="120"/>
      <c r="F22" s="244"/>
      <c r="G22" s="71"/>
      <c r="H22" s="347"/>
      <c r="J22" s="105" t="s">
        <v>1</v>
      </c>
      <c r="K22" s="244">
        <v>600</v>
      </c>
      <c r="L22" s="363" t="str">
        <f>IF(INT(K22/100)&gt;=1,INT(K22/100)&amp;" thùng + "&amp;MOD(K22,100)&amp;" cái ",VALUE(K22/100)&amp;"cái")</f>
        <v xml:space="preserve">6 thùng + 0 cái </v>
      </c>
      <c r="M22" s="292"/>
      <c r="N22" s="71"/>
      <c r="O22" s="71"/>
      <c r="P22" s="123"/>
      <c r="Q22" s="130"/>
      <c r="S22" s="105" t="s">
        <v>46</v>
      </c>
      <c r="T22" s="244"/>
      <c r="U22" s="278"/>
      <c r="V22" s="292"/>
      <c r="W22" s="244">
        <v>400</v>
      </c>
      <c r="X22" s="278" t="str">
        <f>IF(INT(W22/300)&gt;=1,INT(W22/300)&amp;" thùng + "&amp;MOD(W22,300)/100&amp;" túi ",VALUE(W22/100)&amp;"túi")</f>
        <v xml:space="preserve">1 thùng + 1 túi </v>
      </c>
      <c r="Y22" s="292"/>
      <c r="Z22" s="244"/>
      <c r="AA22" s="278" t="str">
        <f>IF(INT(Z22/300)&gt;=1,INT(Z22/300)&amp;" thùng + "&amp;MOD(Z22,300)/100&amp;" túi ",VALUE(Z22/100)&amp;"túi")</f>
        <v>0túi</v>
      </c>
      <c r="AB22" s="397"/>
      <c r="AC22" s="422"/>
      <c r="AD22" s="100" t="s">
        <v>1</v>
      </c>
      <c r="AE22" s="251"/>
      <c r="AF22" s="287"/>
      <c r="AG22" s="306"/>
      <c r="AH22" s="251">
        <v>800</v>
      </c>
      <c r="AI22" s="278" t="str">
        <f>IF(INT(AH22/100)&gt;=1,INT(AH22/100)&amp;" thùng + "&amp;MOD(AH22,100)/100&amp;" túi ",VALUE(AH22/100)&amp;"túi")</f>
        <v xml:space="preserve">8 thùng + 0 túi </v>
      </c>
      <c r="AJ22" s="314"/>
      <c r="AK22" s="255"/>
      <c r="AL22" s="130"/>
      <c r="AM22" s="417"/>
      <c r="AN22" s="105" t="s">
        <v>1</v>
      </c>
      <c r="AO22" s="251"/>
      <c r="AP22" s="287"/>
      <c r="AQ22" s="306"/>
      <c r="AR22" s="244"/>
      <c r="AS22" s="280"/>
      <c r="AT22" s="294"/>
      <c r="AU22" s="244"/>
      <c r="AV22" s="280"/>
      <c r="AW22" s="295"/>
    </row>
    <row r="23" spans="1:133" s="88" customFormat="1" ht="14.25" customHeight="1">
      <c r="A23" s="117" t="s">
        <v>19</v>
      </c>
      <c r="B23" s="242">
        <v>4600</v>
      </c>
      <c r="C23" s="363" t="str">
        <f>IF(INT(B23/100)&gt;=1,INT(B23/100)&amp;" thùng + "&amp;MOD(B23,100)&amp;" cái ",VALUE(B23/100)&amp;"cái")</f>
        <v xml:space="preserve">46 thùng + 0 cái </v>
      </c>
      <c r="D23" s="291"/>
      <c r="E23" s="119"/>
      <c r="F23" s="242"/>
      <c r="G23" s="81"/>
      <c r="H23" s="346"/>
      <c r="J23" s="117"/>
      <c r="K23" s="242"/>
      <c r="L23" s="279"/>
      <c r="M23" s="361"/>
      <c r="N23" s="362"/>
      <c r="O23" s="81"/>
      <c r="P23" s="81"/>
      <c r="Q23" s="91"/>
      <c r="S23" s="114" t="s">
        <v>59</v>
      </c>
      <c r="T23" s="242">
        <v>1600</v>
      </c>
      <c r="U23" s="277" t="str">
        <f>IF(INT(T23/600)&gt;=1,INT(T23/600)&amp;" thùng + "&amp;MOD(T23,600)/100&amp;" túi ",VALUE(T23/100)&amp;"túi")</f>
        <v xml:space="preserve">2 thùng + 4 túi </v>
      </c>
      <c r="V23" s="291"/>
      <c r="W23" s="242">
        <v>2200</v>
      </c>
      <c r="X23" s="277" t="str">
        <f>IF(INT(W23/600)&gt;=1,INT(W23/600)&amp;" thùng + "&amp;MOD(W23,600)/100&amp;" túi ",VALUE(W23/100)&amp;"túi")</f>
        <v xml:space="preserve">3 thùng + 4 túi </v>
      </c>
      <c r="Y23" s="291"/>
      <c r="Z23" s="244">
        <v>200</v>
      </c>
      <c r="AA23" s="277" t="str">
        <f>IF(INT(Z23/600)&gt;=1,INT(Z23/600)&amp;" thùng + "&amp;MOD(Z23,600)/100&amp;" túi ",VALUE(Z23/100)&amp;"túi")</f>
        <v>2túi</v>
      </c>
      <c r="AB23" s="398"/>
      <c r="AC23" s="423"/>
      <c r="AD23" s="112" t="s">
        <v>59</v>
      </c>
      <c r="AE23" s="250"/>
      <c r="AF23" s="286"/>
      <c r="AG23" s="305"/>
      <c r="AH23" s="250"/>
      <c r="AI23" s="286"/>
      <c r="AJ23" s="305"/>
      <c r="AK23" s="254"/>
      <c r="AL23" s="126"/>
      <c r="AM23" s="430"/>
      <c r="AN23" s="114" t="s">
        <v>59</v>
      </c>
      <c r="AO23" s="250"/>
      <c r="AP23" s="286"/>
      <c r="AQ23" s="305"/>
      <c r="AR23" s="242">
        <v>500</v>
      </c>
      <c r="AS23" s="277" t="str">
        <f>IF(INT(AR23/400)&gt;=1,INT(AR23/400)&amp;" thùng + "&amp;MOD(AR23,400)&amp;" cái ",VALUE(AR23)&amp;"cái")</f>
        <v xml:space="preserve">1 thùng + 100 cái </v>
      </c>
      <c r="AT23" s="291"/>
      <c r="AU23" s="242"/>
      <c r="AV23" s="279"/>
      <c r="AW23" s="298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</row>
    <row r="24" spans="1:133" ht="14.25" customHeight="1">
      <c r="A24" s="105" t="s">
        <v>79</v>
      </c>
      <c r="B24" s="244">
        <v>900</v>
      </c>
      <c r="C24" s="277" t="str">
        <f>IF(INT(B24/1000)&gt;=1,INT(B24/1000)&amp;" thùng + "&amp;MOD(B24,1000)/100&amp;" túi ",VALUE(B24/100)&amp;"túi")</f>
        <v>9túi</v>
      </c>
      <c r="D24" s="291"/>
      <c r="E24" s="71" t="s">
        <v>79</v>
      </c>
      <c r="F24" s="244">
        <v>700</v>
      </c>
      <c r="G24" s="277" t="str">
        <f>IF(INT(F24/1000)&gt;=1,INT(F24/1000)&amp;" thùng + "&amp;MOD(F24,1000)/100&amp;" túi ",VALUE(F24/100)&amp;"túi")</f>
        <v>7túi</v>
      </c>
      <c r="H24" s="347"/>
      <c r="J24" s="105" t="s">
        <v>108</v>
      </c>
      <c r="K24" s="244">
        <v>1600</v>
      </c>
      <c r="L24" s="277" t="str">
        <f>IF(INT(K24/600)&gt;=1,INT(K24/600)&amp;" thùng + "&amp;MOD(K24,600)/100&amp;" túi ",VALUE(K24/100)&amp;"túi")</f>
        <v xml:space="preserve">2 thùng + 4 túi </v>
      </c>
      <c r="M24" s="291"/>
      <c r="N24" s="71"/>
      <c r="O24" s="246"/>
      <c r="P24" s="123"/>
      <c r="Q24" s="130"/>
      <c r="S24" s="103" t="s">
        <v>60</v>
      </c>
      <c r="T24" s="244">
        <v>1600</v>
      </c>
      <c r="U24" s="277" t="str">
        <f>IF(INT(T24/500)&gt;=1,INT(T24/500)&amp;" thùng + "&amp;MOD(T24,500)/100&amp;" túi ",VALUE(T24/100)&amp;"túi")</f>
        <v xml:space="preserve">3 thùng + 1 túi </v>
      </c>
      <c r="V24" s="292"/>
      <c r="W24" s="242">
        <v>2200</v>
      </c>
      <c r="X24" s="277" t="str">
        <f>IF(INT(W24/500)&gt;=1,INT(W24/500)&amp;" thùng + "&amp;MOD(W24,500)/100&amp;" túi ",VALUE(W24/100)&amp;"túi")</f>
        <v xml:space="preserve">4 thùng + 2 túi </v>
      </c>
      <c r="Y24" s="292"/>
      <c r="Z24" s="244">
        <v>200</v>
      </c>
      <c r="AA24" s="277" t="str">
        <f>IF(INT(Z24/500)&gt;=1,INT(Z24/500)&amp;" thùng + "&amp;MOD(Z24,500)/100&amp;" túi ",VALUE(Z24/100)&amp;"túi")</f>
        <v>2túi</v>
      </c>
      <c r="AB24" s="397"/>
      <c r="AC24" s="422"/>
      <c r="AD24" s="115" t="s">
        <v>60</v>
      </c>
      <c r="AE24" s="251"/>
      <c r="AF24" s="287"/>
      <c r="AG24" s="306"/>
      <c r="AH24" s="251"/>
      <c r="AI24" s="287"/>
      <c r="AJ24" s="306"/>
      <c r="AK24" s="255"/>
      <c r="AL24" s="130"/>
      <c r="AM24" s="417"/>
      <c r="AN24" s="103" t="s">
        <v>60</v>
      </c>
      <c r="AO24" s="251"/>
      <c r="AP24" s="287"/>
      <c r="AQ24" s="306"/>
      <c r="AR24" s="244">
        <v>500</v>
      </c>
      <c r="AS24" s="277" t="str">
        <f>IF(INT(AR24/250)&gt;=1,INT(AR24/250)&amp;" thùng + "&amp;MOD(AR24,250)&amp;" cái ",VALUE(AR24)&amp;"cái")</f>
        <v xml:space="preserve">2 thùng + 0 cái </v>
      </c>
      <c r="AT24" s="291"/>
      <c r="AU24" s="244"/>
      <c r="AV24" s="280"/>
      <c r="AW24" s="295"/>
    </row>
    <row r="25" spans="1:133" s="88" customFormat="1" ht="14.25" customHeight="1">
      <c r="A25" s="117" t="s">
        <v>77</v>
      </c>
      <c r="B25" s="242"/>
      <c r="C25" s="277" t="str">
        <f>IF(INT(B25/3000)&gt;=1,INT(B25/3000)&amp;" thùng + "&amp;MOD(B25,3000)/100&amp;" túi ",VALUE(B25/100)&amp;"túi")</f>
        <v>0túi</v>
      </c>
      <c r="D25" s="291"/>
      <c r="E25" s="81" t="s">
        <v>77</v>
      </c>
      <c r="F25" s="242">
        <v>700</v>
      </c>
      <c r="G25" s="277" t="str">
        <f>IF(INT(F25/3000)&gt;=1,INT(F25/3000)&amp;" thùng + "&amp;MOD(F25,3000)/100&amp;" túi ",VALUE(F25/100)&amp;"túi")</f>
        <v>7túi</v>
      </c>
      <c r="H25" s="346"/>
      <c r="J25" s="117" t="s">
        <v>273</v>
      </c>
      <c r="K25" s="242"/>
      <c r="L25" s="279"/>
      <c r="M25" s="293"/>
      <c r="N25" s="81"/>
      <c r="O25" s="233"/>
      <c r="P25" s="279"/>
      <c r="Q25" s="282"/>
      <c r="S25" s="114" t="s">
        <v>248</v>
      </c>
      <c r="T25" s="249"/>
      <c r="U25" s="277"/>
      <c r="V25" s="291"/>
      <c r="W25" s="242"/>
      <c r="X25" s="284"/>
      <c r="Y25" s="302"/>
      <c r="Z25" s="244"/>
      <c r="AA25" s="374"/>
      <c r="AB25" s="400"/>
      <c r="AC25" s="424"/>
      <c r="AD25" s="412" t="s">
        <v>41</v>
      </c>
      <c r="AE25" s="250">
        <v>800</v>
      </c>
      <c r="AF25" s="277" t="str">
        <f>IF(INT(AE25/500)&gt;=1,INT(AE25/500)&amp;" thùng + "&amp;MOD(AE25,500)/100&amp;" túi ",VALUE(AE25/100)&amp;"túi")</f>
        <v xml:space="preserve">1 thùng + 3 túi </v>
      </c>
      <c r="AG25" s="250"/>
      <c r="AH25" s="250"/>
      <c r="AI25" s="279"/>
      <c r="AJ25" s="305"/>
      <c r="AK25" s="254"/>
      <c r="AL25" s="126"/>
      <c r="AM25" s="430"/>
      <c r="AN25" s="234" t="s">
        <v>41</v>
      </c>
      <c r="AO25" s="387"/>
      <c r="AP25" s="277" t="str">
        <f>IF(INT(AO25/500)&gt;=1,INT(AO25/500)&amp;" thùng + "&amp;MOD(AO25,500)/100&amp;" túi ",VALUE(AO25/100)&amp;"túi")</f>
        <v>0túi</v>
      </c>
      <c r="AQ25" s="291"/>
      <c r="AR25" s="242"/>
      <c r="AS25" s="279"/>
      <c r="AT25" s="293"/>
      <c r="AU25" s="242"/>
      <c r="AV25" s="279"/>
      <c r="AW25" s="298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</row>
    <row r="26" spans="1:133" ht="14.25" customHeight="1">
      <c r="A26" s="129" t="s">
        <v>73</v>
      </c>
      <c r="B26" s="244">
        <v>3030</v>
      </c>
      <c r="C26" s="277" t="str">
        <f>IF(INT(B26/4000)&gt;=1,INT(B26/4000)&amp;" thùng + "&amp;MOD(B26,4000)/100&amp;" túi ",VALUE(B26/100)&amp;"túi")</f>
        <v>30.3túi</v>
      </c>
      <c r="D26" s="291"/>
      <c r="E26" s="120"/>
      <c r="F26" s="244"/>
      <c r="G26" s="71"/>
      <c r="H26" s="347"/>
      <c r="J26" s="105"/>
      <c r="K26" s="360"/>
      <c r="L26" s="280"/>
      <c r="M26" s="294"/>
      <c r="N26" s="71"/>
      <c r="O26" s="246"/>
      <c r="P26" s="280"/>
      <c r="Q26" s="295"/>
      <c r="S26" s="103" t="s">
        <v>73</v>
      </c>
      <c r="T26" s="244">
        <v>1930</v>
      </c>
      <c r="U26" s="278" t="str">
        <f>IF(INT(T26/4000)&gt;=1,INT(T26/4000)&amp;" thùng + "&amp;MOD(T26,4000)/100&amp;" túi ",VALUE(T26/100)&amp;"túi")</f>
        <v>19.3túi</v>
      </c>
      <c r="V26" s="291"/>
      <c r="W26" s="244">
        <v>3030</v>
      </c>
      <c r="X26" s="278" t="str">
        <f>IF(INT(W26/4000)&gt;=1,INT(W26/4000)&amp;" thùng + "&amp;MOD(W26,4000)/100&amp;" túi ",VALUE(W26/100)&amp;"túi")</f>
        <v>30.3túi</v>
      </c>
      <c r="Y26" s="292"/>
      <c r="Z26" s="244"/>
      <c r="AA26" s="277" t="str">
        <f>IF(INT(Z26/3000)&gt;=1,INT(Z26/3000)&amp;" thùng + "&amp;MOD(Z26,3000)/100&amp;" túi ",VALUE(Z26/100)&amp;"túi")</f>
        <v>0túi</v>
      </c>
      <c r="AB26" s="398"/>
      <c r="AC26" s="423"/>
      <c r="AD26" s="115" t="s">
        <v>73</v>
      </c>
      <c r="AE26" s="251">
        <v>900</v>
      </c>
      <c r="AF26" s="288" t="str">
        <f>IF(INT(AE26/4000)&gt;=1,INT(AE26/4000)&amp;" thùng + "&amp;MOD(AE26,4000)/100&amp;" túi ",VALUE(AE26/100)&amp;"túi")</f>
        <v>9túi</v>
      </c>
      <c r="AG26" s="334"/>
      <c r="AH26" s="334"/>
      <c r="AI26" s="278" t="str">
        <f>IF(INT(AH26/4000)&gt;=1,INT(AH26/4000)&amp;" thùng + "&amp;MOD(AH26,4000)/100&amp;" túi ",VALUE(AH26/100)&amp;"túi")</f>
        <v>0túi</v>
      </c>
      <c r="AJ26" s="306"/>
      <c r="AK26" s="255"/>
      <c r="AL26" s="130"/>
      <c r="AM26" s="417"/>
      <c r="AN26" s="103" t="s">
        <v>73</v>
      </c>
      <c r="AO26" s="452"/>
      <c r="AP26" s="277" t="str">
        <f>IF(INT(AO26/4000)&gt;=1,INT(AO26/4000)&amp;" thùng + "&amp;MOD(AO26,4000)/100&amp;" túi",VALUE(AO26/100)&amp;"túi")</f>
        <v>0túi</v>
      </c>
      <c r="AQ26" s="291"/>
      <c r="AR26" s="244">
        <v>200</v>
      </c>
      <c r="AS26" s="385" t="str">
        <f>IF(INT(AR26/4000)&gt;=1,INT(AR26/4000)&amp;" thùng + "&amp;MOD(AR26,4000)/100&amp;" túi ",VALUE(AR26/100)&amp;"túi")</f>
        <v>2túi</v>
      </c>
      <c r="AT26" s="386"/>
      <c r="AU26" s="244"/>
      <c r="AV26" s="385" t="str">
        <f t="shared" ref="AV26" si="5">IF(INT(AU26/2000)&gt;=1,INT(AU26/2000)&amp;" thùng + "&amp;MOD(AU26,2000)/100&amp;" túi ",VALUE(AU26/100)&amp;"túi")</f>
        <v>0túi</v>
      </c>
      <c r="AW26" s="295"/>
    </row>
    <row r="27" spans="1:133" s="88" customFormat="1" ht="14.25" customHeight="1">
      <c r="A27" s="114" t="s">
        <v>9</v>
      </c>
      <c r="B27" s="242">
        <v>900</v>
      </c>
      <c r="C27" s="363" t="str">
        <f>IF(INT(B27/50)&gt;=1,INT(B27/50)&amp;" thùng + "&amp;MOD(B27,50)&amp;" cái ",VALUE(B27/50)&amp;"cái")</f>
        <v xml:space="preserve">18 thùng + 0 cái </v>
      </c>
      <c r="D27" s="291"/>
      <c r="E27" s="119"/>
      <c r="F27" s="242"/>
      <c r="G27" s="81"/>
      <c r="H27" s="346"/>
      <c r="J27" s="235" t="s">
        <v>9</v>
      </c>
      <c r="K27" s="327">
        <v>400</v>
      </c>
      <c r="L27" s="363" t="str">
        <f>IF(INT(K27/50)&gt;=1,INT(K27/50)&amp;" thùng + "&amp;MOD(K27,50)&amp;" cái ",VALUE(K27/50)&amp;"cái")</f>
        <v xml:space="preserve">8 thùng + 0 cái </v>
      </c>
      <c r="M27" s="293"/>
      <c r="N27" s="81" t="s">
        <v>9</v>
      </c>
      <c r="O27" s="242">
        <v>1400</v>
      </c>
      <c r="P27" s="363" t="str">
        <f>IF(INT(O27/50)&gt;=1,INT(O27/50)&amp;" thùng + "&amp;MOD(O27,50)&amp;" cái ",VALUE(O27/50)&amp;"cái")</f>
        <v xml:space="preserve">28 thùng + 0 cái </v>
      </c>
      <c r="Q27" s="296"/>
      <c r="S27" s="114" t="s">
        <v>23</v>
      </c>
      <c r="T27" s="242"/>
      <c r="U27" s="277"/>
      <c r="V27" s="291"/>
      <c r="W27" s="327"/>
      <c r="X27" s="277" t="str">
        <f>IF(INT(W27/400)&gt;=1,INT(W27/400)&amp;" thùng + "&amp;MOD(W27,400)/100&amp;" túi ",VALUE(W27/100)&amp;"túi")</f>
        <v>0túi</v>
      </c>
      <c r="Y27" s="291"/>
      <c r="Z27" s="244">
        <v>160</v>
      </c>
      <c r="AA27" s="278" t="str">
        <f>IF(INT(Z27/400)&gt;=1,INT(Z27/400)&amp;" thùng + "&amp;MOD(Z27,400)/100&amp;" túi ",VALUE(Z27/100)&amp;"túi")</f>
        <v>1.6túi</v>
      </c>
      <c r="AB27" s="398"/>
      <c r="AC27" s="423"/>
      <c r="AD27" s="116" t="s">
        <v>9</v>
      </c>
      <c r="AE27" s="250">
        <v>100</v>
      </c>
      <c r="AF27" s="363" t="str">
        <f>IF(INT(AE27/50)&gt;=1,INT(AE27/50)&amp;" thùng + "&amp;MOD(AE27,50)&amp;" cái ",VALUE(AE27/50)&amp;"cái")</f>
        <v xml:space="preserve">2 thùng + 0 cái </v>
      </c>
      <c r="AG27" s="305"/>
      <c r="AH27" s="250"/>
      <c r="AI27" s="286"/>
      <c r="AJ27" s="305"/>
      <c r="AK27" s="254"/>
      <c r="AL27" s="126"/>
      <c r="AM27" s="430"/>
      <c r="AN27" s="117" t="s">
        <v>252</v>
      </c>
      <c r="AO27" s="250"/>
      <c r="AP27" s="286"/>
      <c r="AQ27" s="305"/>
      <c r="AR27" s="250">
        <v>100</v>
      </c>
      <c r="AS27" s="278" t="str">
        <f t="shared" ref="AS27" si="6">IF(INT(AR27/2000)&gt;=1,INT(AR27/2000)&amp;" thùng + "&amp;MOD(AR27,2000)/100&amp;" túi ",VALUE(AR27/100)&amp;"túi")</f>
        <v>1túi</v>
      </c>
      <c r="AT27" s="293"/>
      <c r="AU27" s="242"/>
      <c r="AV27" s="279"/>
      <c r="AW27" s="298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</row>
    <row r="28" spans="1:133" ht="14.25" customHeight="1">
      <c r="A28" s="103" t="s">
        <v>273</v>
      </c>
      <c r="B28" s="244"/>
      <c r="C28" s="277" t="str">
        <f>IF(INT(B28/3000)&gt;=1,INT(B28/3000)&amp;" thùng + "&amp;MOD(B28,3000)/100&amp;" túi ",VALUE(B28/100)&amp;"túi")</f>
        <v>0túi</v>
      </c>
      <c r="D28" s="292"/>
      <c r="E28" s="120"/>
      <c r="F28" s="244"/>
      <c r="G28" s="280"/>
      <c r="H28" s="348"/>
      <c r="J28" s="103" t="s">
        <v>10</v>
      </c>
      <c r="K28" s="321"/>
      <c r="L28" s="280"/>
      <c r="M28" s="294"/>
      <c r="N28" s="71" t="s">
        <v>10</v>
      </c>
      <c r="O28" s="244">
        <v>350</v>
      </c>
      <c r="P28" s="363" t="str">
        <f>IF(INT(O28/20)&gt;=1,INT(O28/20)&amp;" thùng + "&amp;MOD(O28,20)&amp;" cái ",VALUE(O28/20)&amp;"cái")</f>
        <v xml:space="preserve">17 thùng + 10 cái </v>
      </c>
      <c r="Q28" s="297"/>
      <c r="S28" s="105" t="s">
        <v>78</v>
      </c>
      <c r="T28" s="244"/>
      <c r="U28" s="278"/>
      <c r="V28" s="292"/>
      <c r="W28" s="244"/>
      <c r="X28" s="278" t="str">
        <f>IF(INT(W28/1000)&gt;=1,INT(W28/1000)&amp;" thùng + "&amp;MOD(W28,1000)/100&amp;" túi ",VALUE(W28/100)&amp;"túi")</f>
        <v>0túi</v>
      </c>
      <c r="Y28" s="292"/>
      <c r="Z28" s="244">
        <v>80</v>
      </c>
      <c r="AA28" s="278" t="str">
        <f>IF(INT(Z28/1000)&gt;=1,INT(Z28/1000)&amp;" thùng + "&amp;MOD(Z28,1000)/100&amp;" túi ",VALUE(Z28/100)&amp;"túi")</f>
        <v>0.8túi</v>
      </c>
      <c r="AB28" s="397"/>
      <c r="AC28" s="422"/>
      <c r="AD28" s="100" t="s">
        <v>78</v>
      </c>
      <c r="AE28" s="328"/>
      <c r="AF28" s="287"/>
      <c r="AG28" s="306"/>
      <c r="AH28" s="251"/>
      <c r="AI28" s="287"/>
      <c r="AJ28" s="306"/>
      <c r="AK28" s="255"/>
      <c r="AL28" s="130"/>
      <c r="AM28" s="417"/>
      <c r="AN28" s="105" t="s">
        <v>78</v>
      </c>
      <c r="AO28" s="251"/>
      <c r="AP28" s="287"/>
      <c r="AQ28" s="306"/>
      <c r="AR28" s="251"/>
      <c r="AS28" s="385" t="str">
        <f>IF(INT(AR28/1000)&gt;=1,INT(AR28/1000)&amp;" thùng + "&amp;MOD(AR28,1000)/100&amp;" túi ",VALUE(AR28/100)&amp;"túi")</f>
        <v>0túi</v>
      </c>
      <c r="AT28" s="386"/>
      <c r="AU28" s="244"/>
      <c r="AV28" s="280"/>
      <c r="AW28" s="295"/>
    </row>
    <row r="29" spans="1:133" s="88" customFormat="1" ht="14.25" customHeight="1">
      <c r="A29" s="117" t="s">
        <v>279</v>
      </c>
      <c r="B29" s="242"/>
      <c r="C29" s="277" t="str">
        <f>IF(INT(B29/25)&gt;=1,INT(B29/25)&amp;" thùng + "&amp;MOD(B29,25)/25&amp;" túi ",VALUE(B29/25)&amp;"túi")</f>
        <v>0túi</v>
      </c>
      <c r="D29" s="291"/>
      <c r="E29" s="117" t="s">
        <v>279</v>
      </c>
      <c r="F29" s="327"/>
      <c r="G29" s="277" t="str">
        <f>IF(INT(F29/1500)&gt;=1,INT(F29/1500)&amp;" thùng + "&amp;MOD(F29,1500)/100&amp;" túi ",VALUE(F29/100)&amp;"túi")</f>
        <v>0túi</v>
      </c>
      <c r="H29" s="349"/>
      <c r="J29" s="235" t="s">
        <v>89</v>
      </c>
      <c r="K29" s="327">
        <v>200</v>
      </c>
      <c r="L29" s="363" t="str">
        <f>IF(INT(K29/20)&gt;=1,INT(K29/20)&amp;" thùng + "&amp;MOD(K29,20)&amp;" cái ",VALUE(K29/20)&amp;"cái")</f>
        <v xml:space="preserve">10 thùng + 0 cái </v>
      </c>
      <c r="M29" s="293"/>
      <c r="N29" s="71" t="s">
        <v>89</v>
      </c>
      <c r="O29" s="326">
        <v>600</v>
      </c>
      <c r="P29" s="363" t="str">
        <f>IF(INT(O29/20)&gt;=1,INT(O29/20)&amp;" thùng + "&amp;MOD(O29,20)&amp;" cái ",VALUE(O29/20)&amp;"cái")</f>
        <v xml:space="preserve">30 thùng + 0 cái </v>
      </c>
      <c r="Q29" s="298"/>
      <c r="S29" s="114" t="s">
        <v>269</v>
      </c>
      <c r="T29" s="242"/>
      <c r="U29" s="277"/>
      <c r="V29" s="291"/>
      <c r="W29" s="242"/>
      <c r="X29" s="279"/>
      <c r="Y29" s="293"/>
      <c r="Z29" s="244">
        <v>80</v>
      </c>
      <c r="AA29" s="278" t="str">
        <f>IF(INT(Z29/200)&gt;=1,INT(Z29/200)&amp;" thùng + "&amp;MOD(Z29,200)/50&amp;" túi ",VALUE(Z29/50)&amp;"túi")</f>
        <v>1.6túi</v>
      </c>
      <c r="AB29" s="398"/>
      <c r="AC29" s="423"/>
      <c r="AD29" s="112" t="s">
        <v>53</v>
      </c>
      <c r="AE29" s="250">
        <v>200</v>
      </c>
      <c r="AF29" s="278" t="str">
        <f>IF(INT(AE29/100)&gt;=1,INT(AE29/100)&amp;" thùng + "&amp;MOD(AE29,100)/100&amp;" túi ",VALUE(AE29/100)&amp;"túi")</f>
        <v xml:space="preserve">2 thùng + 0 túi </v>
      </c>
      <c r="AG29" s="305"/>
      <c r="AH29" s="250"/>
      <c r="AI29" s="286"/>
      <c r="AJ29" s="305"/>
      <c r="AK29" s="254"/>
      <c r="AL29" s="126"/>
      <c r="AM29" s="430"/>
      <c r="AN29" s="114" t="s">
        <v>84</v>
      </c>
      <c r="AO29" s="387"/>
      <c r="AP29" s="278" t="str">
        <f>IF(INT(AO29/6000)&gt;=1,INT(AO29/6000)&amp;" thùng + "&amp;MOD(AO29,6000)/100&amp;" túi ",VALUE(AO29/100)&amp;"túi")</f>
        <v>0túi</v>
      </c>
      <c r="AQ29" s="305"/>
      <c r="AR29" s="387"/>
      <c r="AS29" s="279"/>
      <c r="AT29" s="293"/>
      <c r="AU29" s="242"/>
      <c r="AV29" s="279"/>
      <c r="AW29" s="298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</row>
    <row r="30" spans="1:133" ht="14.25" customHeight="1">
      <c r="A30" s="105" t="s">
        <v>89</v>
      </c>
      <c r="B30" s="244">
        <v>400</v>
      </c>
      <c r="C30" s="363" t="str">
        <f>IF(INT(B30/20)&gt;=1,INT(B30/20)&amp;" thùng + "&amp;MOD(B30,20)&amp;" cái ",VALUE(B30/20)&amp;"cái")</f>
        <v xml:space="preserve">20 thùng + 0 cái </v>
      </c>
      <c r="D30" s="291"/>
      <c r="E30" s="71"/>
      <c r="F30" s="326"/>
      <c r="G30" s="278"/>
      <c r="H30" s="350"/>
      <c r="J30" s="206" t="s">
        <v>53</v>
      </c>
      <c r="K30" s="326">
        <v>1200</v>
      </c>
      <c r="L30" s="363" t="str">
        <f>IF(INT(K30/100)&gt;=1,INT(K30/100)&amp;" thùng + "&amp;MOD(K30,100)&amp;" cái ",VALUE(K30/100)&amp;"cái")</f>
        <v xml:space="preserve">12 thùng + 0 cái </v>
      </c>
      <c r="M30" s="294"/>
      <c r="N30" s="71"/>
      <c r="O30" s="246"/>
      <c r="P30" s="280"/>
      <c r="Q30" s="281"/>
      <c r="S30" s="103" t="s">
        <v>282</v>
      </c>
      <c r="T30" s="244"/>
      <c r="U30" s="278"/>
      <c r="V30" s="292"/>
      <c r="W30" s="244"/>
      <c r="X30" s="278" t="str">
        <f>IF(INT(W30/100)&gt;=1,INT(W30/100)&amp;" thùng + "&amp;MOD(W30,100)/100&amp;" túi ",VALUE(W30/100)&amp;"túi")</f>
        <v>0túi</v>
      </c>
      <c r="Y30" s="292"/>
      <c r="Z30" s="321"/>
      <c r="AA30" s="277" t="str">
        <f>IF(INT(Z30/100)&gt;=1,INT(Z30/100)&amp;" thùng + "&amp;MOD(Z30,100)&amp;" cái ",VALUE(Z30)&amp;"cái")</f>
        <v>0cái</v>
      </c>
      <c r="AB30" s="397"/>
      <c r="AC30" s="422"/>
      <c r="AD30" s="115" t="s">
        <v>79</v>
      </c>
      <c r="AE30" s="251">
        <v>100</v>
      </c>
      <c r="AF30" s="278" t="str">
        <f>IF(INT(AE30/2000)&gt;=1,INT(AE30/2000)&amp;" thùng + "&amp;MOD(AE30,2000)/100&amp;" túi ",VALUE(AE30/100)&amp;"túi")</f>
        <v>1túi</v>
      </c>
      <c r="AG30" s="306"/>
      <c r="AH30" s="251"/>
      <c r="AI30" s="287"/>
      <c r="AJ30" s="306"/>
      <c r="AK30" s="255"/>
      <c r="AL30" s="130"/>
      <c r="AM30" s="417"/>
      <c r="AN30" s="103" t="s">
        <v>253</v>
      </c>
      <c r="AO30" s="251"/>
      <c r="AP30" s="287"/>
      <c r="AQ30" s="306"/>
      <c r="AR30" s="251">
        <v>400</v>
      </c>
      <c r="AS30" s="278" t="str">
        <f t="shared" ref="AS30" si="7">IF(INT(AR30/2000)&gt;=1,INT(AR30/2000)&amp;" thùng + "&amp;MOD(AR30,2000)/100&amp;" túi ",VALUE(AR30/100)&amp;"túi")</f>
        <v>4túi</v>
      </c>
      <c r="AT30" s="294"/>
      <c r="AU30" s="244"/>
      <c r="AV30" s="280"/>
      <c r="AW30" s="295"/>
    </row>
    <row r="31" spans="1:133" s="88" customFormat="1" ht="14.25" customHeight="1">
      <c r="A31" s="239" t="s">
        <v>18</v>
      </c>
      <c r="B31" s="242">
        <v>1400</v>
      </c>
      <c r="C31" s="363" t="str">
        <f>IF(INT(B31/100)&gt;=1,INT(B31/100)&amp;" thùng + "&amp;MOD(B31,100)&amp;" cái ",VALUE(B31/100)&amp;"cái")</f>
        <v xml:space="preserve">14 thùng + 0 cái </v>
      </c>
      <c r="D31" s="291"/>
      <c r="E31" s="81"/>
      <c r="F31" s="242"/>
      <c r="G31" s="279"/>
      <c r="H31" s="351"/>
      <c r="J31" s="235" t="s">
        <v>18</v>
      </c>
      <c r="K31" s="242"/>
      <c r="L31" s="277" t="str">
        <f>IF(INT(K31/100)&gt;=1,INT(K31/100)&amp;" thùng + "&amp;MOD(K31,100)/100&amp;" cái ",VALUE(K31/100)&amp;"cái")</f>
        <v>0cái</v>
      </c>
      <c r="M31" s="291"/>
      <c r="N31" s="81"/>
      <c r="O31" s="227"/>
      <c r="P31" s="279"/>
      <c r="Q31" s="282"/>
      <c r="S31" s="117" t="s">
        <v>100</v>
      </c>
      <c r="T31" s="242"/>
      <c r="U31" s="277"/>
      <c r="V31" s="291"/>
      <c r="W31" s="242"/>
      <c r="X31" s="284"/>
      <c r="Y31" s="302"/>
      <c r="Z31" s="244">
        <v>500</v>
      </c>
      <c r="AA31" s="363" t="str">
        <f>IF(INT(Z31/20)&gt;=1,INT(Z31/20)&amp;" thùng + "&amp;MOD(Z31,20)&amp;" cái ",VALUE(Z31/20)&amp;"cái")</f>
        <v xml:space="preserve">25 thùng + 0 cái </v>
      </c>
      <c r="AB31" s="398"/>
      <c r="AC31" s="423"/>
      <c r="AD31" s="116" t="s">
        <v>18</v>
      </c>
      <c r="AE31" s="250"/>
      <c r="AF31" s="286"/>
      <c r="AG31" s="305"/>
      <c r="AH31" s="250"/>
      <c r="AI31" s="286"/>
      <c r="AJ31" s="305"/>
      <c r="AK31" s="254"/>
      <c r="AL31" s="126"/>
      <c r="AM31" s="430"/>
      <c r="AN31" s="117" t="s">
        <v>18</v>
      </c>
      <c r="AO31" s="388"/>
      <c r="AP31" s="278" t="str">
        <f>IF(INT(AO31/100)&gt;=1,INT(AO31/100)&amp;" thùng + "&amp;MOD(AO31,100)/100&amp;" túi ",VALUE(AO31/100)&amp;"túi")</f>
        <v>0túi</v>
      </c>
      <c r="AQ31" s="305"/>
      <c r="AR31" s="242"/>
      <c r="AS31" s="279"/>
      <c r="AT31" s="293"/>
      <c r="AU31" s="242"/>
      <c r="AV31" s="279"/>
      <c r="AW31" s="298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</row>
    <row r="32" spans="1:133" ht="14.25" customHeight="1">
      <c r="A32" s="105" t="s">
        <v>53</v>
      </c>
      <c r="B32" s="244">
        <v>3200</v>
      </c>
      <c r="C32" s="277" t="str">
        <f>IF(INT(B32/100)&gt;=1,INT(B32/100)&amp;" thùng + "&amp;MOD(B32,100)/100&amp;" cái ",VALUE(B32/100)&amp;"cái")</f>
        <v xml:space="preserve">32 thùng + 0 cái </v>
      </c>
      <c r="D32" s="291"/>
      <c r="E32" s="71"/>
      <c r="F32" s="244"/>
      <c r="G32" s="280"/>
      <c r="H32" s="352"/>
      <c r="J32" s="206" t="s">
        <v>19</v>
      </c>
      <c r="K32" s="326">
        <v>1200</v>
      </c>
      <c r="L32" s="363" t="str">
        <f>IF(INT(K32/100)&gt;=1,INT(K32/100)&amp;" thùng + "&amp;MOD(K32,100)&amp;" cái ",VALUE(K32/100)&amp;"cái")</f>
        <v xml:space="preserve">12 thùng + 0 cái </v>
      </c>
      <c r="M32" s="294"/>
      <c r="N32" s="71"/>
      <c r="O32" s="246"/>
      <c r="P32" s="71"/>
      <c r="Q32" s="102"/>
      <c r="S32" s="103" t="s">
        <v>116</v>
      </c>
      <c r="T32" s="244"/>
      <c r="U32" s="278"/>
      <c r="V32" s="292"/>
      <c r="W32" s="244"/>
      <c r="X32" s="280"/>
      <c r="Y32" s="294"/>
      <c r="Z32" s="244">
        <v>500</v>
      </c>
      <c r="AA32" s="278" t="str">
        <f>IF(INT(Z32/200)&gt;=1,INT(Z32/200)&amp;" thùng + "&amp;MOD(Z32,200)/20&amp;" túi ",VALUE(Z32)&amp;"cái")</f>
        <v xml:space="preserve">2 thùng + 5 túi </v>
      </c>
      <c r="AB32" s="397"/>
      <c r="AC32" s="422"/>
      <c r="AD32" s="100" t="s">
        <v>237</v>
      </c>
      <c r="AE32" s="251"/>
      <c r="AF32" s="287"/>
      <c r="AG32" s="306"/>
      <c r="AH32" s="251"/>
      <c r="AI32" s="287"/>
      <c r="AJ32" s="306"/>
      <c r="AK32" s="255"/>
      <c r="AL32" s="130"/>
      <c r="AM32" s="417"/>
      <c r="AN32" s="105" t="s">
        <v>270</v>
      </c>
      <c r="AO32" s="251"/>
      <c r="AP32" s="287"/>
      <c r="AQ32" s="306"/>
      <c r="AR32" s="244"/>
      <c r="AS32" s="385"/>
      <c r="AT32" s="386"/>
      <c r="AU32" s="244"/>
      <c r="AV32" s="280"/>
      <c r="AW32" s="295"/>
    </row>
    <row r="33" spans="1:133" s="88" customFormat="1" ht="14.25" customHeight="1">
      <c r="A33" s="114" t="s">
        <v>49</v>
      </c>
      <c r="B33" s="242"/>
      <c r="C33" s="363" t="str">
        <f>IF(INT(B33/20)&gt;=1,INT(B33/20)&amp;" thùng + "&amp;MOD(B33,20)&amp;" cái ",VALUE(B33/20)&amp;"cái")</f>
        <v>0cái</v>
      </c>
      <c r="D33" s="291"/>
      <c r="E33" s="81"/>
      <c r="F33" s="242"/>
      <c r="G33" s="81"/>
      <c r="H33" s="346"/>
      <c r="J33" s="235" t="s">
        <v>49</v>
      </c>
      <c r="K33" s="242">
        <v>150</v>
      </c>
      <c r="L33" s="363" t="str">
        <f>IF(INT(K33/20)&gt;=1,INT(K33/20)&amp;" thùng + "&amp;MOD(K33,20)&amp;" cái ",VALUE(K33/20)&amp;"cái")</f>
        <v xml:space="preserve">7 thùng + 10 cái </v>
      </c>
      <c r="M33" s="364"/>
      <c r="N33" s="81"/>
      <c r="O33" s="227"/>
      <c r="P33" s="81"/>
      <c r="Q33" s="91"/>
      <c r="S33" s="117" t="s">
        <v>239</v>
      </c>
      <c r="T33" s="242"/>
      <c r="U33" s="277"/>
      <c r="V33" s="291"/>
      <c r="W33" s="242">
        <v>1600</v>
      </c>
      <c r="X33" s="278" t="str">
        <f>IF(INT(W33/300)&gt;=1,INT(W33/300)&amp;" thùng + "&amp;MOD(W33,300)/100&amp;" túi ",VALUE(W33/100)&amp;"túi")</f>
        <v xml:space="preserve">5 thùng + 1 túi </v>
      </c>
      <c r="Y33" s="293"/>
      <c r="Z33" s="244">
        <v>240</v>
      </c>
      <c r="AA33" s="278" t="str">
        <f>IF(INT(Z33/300)&gt;=1,INT(Z33/300)&amp;" thùng + "&amp;MOD(Z33,300)/100&amp;" túi ",VALUE(Z33/100)&amp;"túi")</f>
        <v>2.4túi</v>
      </c>
      <c r="AB33" s="401"/>
      <c r="AC33" s="424"/>
      <c r="AD33" s="112" t="s">
        <v>38</v>
      </c>
      <c r="AE33" s="250"/>
      <c r="AF33" s="286"/>
      <c r="AG33" s="305"/>
      <c r="AH33" s="250"/>
      <c r="AI33" s="286"/>
      <c r="AJ33" s="305"/>
      <c r="AK33" s="254"/>
      <c r="AL33" s="126"/>
      <c r="AM33" s="430"/>
      <c r="AN33" s="114" t="s">
        <v>38</v>
      </c>
      <c r="AO33" s="250"/>
      <c r="AP33" s="286"/>
      <c r="AQ33" s="305"/>
      <c r="AR33" s="242"/>
      <c r="AS33" s="278" t="str">
        <f>IF(INT(AR33/4000)&gt;=1,INT(AR33/4000)&amp;" thùng + "&amp;MOD(AR33,4000)/100&amp;" túi ",VALUE(AR33/100)&amp;"túi")</f>
        <v>0túi</v>
      </c>
      <c r="AT33" s="386"/>
      <c r="AU33" s="242"/>
      <c r="AV33" s="279"/>
      <c r="AW33" s="298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</row>
    <row r="34" spans="1:133" ht="14.25" customHeight="1">
      <c r="A34" s="117" t="s">
        <v>235</v>
      </c>
      <c r="B34" s="242"/>
      <c r="C34" s="363" t="str">
        <f>IF(INT(B34/25)&gt;=1,INT(B34/25)&amp;" thùng + "&amp;MOD(B34,25)&amp;" cái ",VALUE(B34/25)&amp;"cái")</f>
        <v>0cái</v>
      </c>
      <c r="D34" s="292"/>
      <c r="E34" s="81" t="s">
        <v>235</v>
      </c>
      <c r="F34" s="330">
        <v>500</v>
      </c>
      <c r="G34" s="363" t="str">
        <f>IF(INT(F34/25)&gt;=1,INT(F34/25)&amp;" thùng + "&amp;MOD(F34,25)&amp;" cái ",VALUE(F34/25)&amp;"cái")</f>
        <v xml:space="preserve">20 thùng + 0 cái </v>
      </c>
      <c r="H34" s="353"/>
      <c r="J34" s="206" t="s">
        <v>79</v>
      </c>
      <c r="K34" s="326">
        <v>400</v>
      </c>
      <c r="L34" s="277" t="str">
        <f>IF(INT(K34/1000)&gt;=1,INT(K34/1000)&amp;" thùng + "&amp;MOD(K34,1000)/100&amp;" túi ",VALUE(K34/100)&amp;"túi")</f>
        <v>4túi</v>
      </c>
      <c r="M34" s="294"/>
      <c r="N34" s="71"/>
      <c r="O34" s="246"/>
      <c r="P34" s="71"/>
      <c r="Q34" s="102"/>
      <c r="S34" s="105" t="s">
        <v>236</v>
      </c>
      <c r="T34" s="244"/>
      <c r="U34" s="278"/>
      <c r="V34" s="292"/>
      <c r="W34" s="244">
        <v>800</v>
      </c>
      <c r="X34" s="278" t="str">
        <f>IF(INT(W34/1000)&gt;=1,INT(W34/1000)&amp;" thùng + "&amp;MOD(W34,1000)/100&amp;" túi ",VALUE(W34/100)&amp;"túi")</f>
        <v>8túi</v>
      </c>
      <c r="Y34" s="294"/>
      <c r="Z34" s="244"/>
      <c r="AA34" s="375"/>
      <c r="AB34" s="402"/>
      <c r="AC34" s="425"/>
      <c r="AD34" s="115" t="s">
        <v>16</v>
      </c>
      <c r="AE34" s="251"/>
      <c r="AF34" s="287"/>
      <c r="AG34" s="306"/>
      <c r="AH34" s="251"/>
      <c r="AI34" s="287"/>
      <c r="AJ34" s="306"/>
      <c r="AK34" s="255"/>
      <c r="AL34" s="130"/>
      <c r="AM34" s="417"/>
      <c r="AN34" s="103" t="s">
        <v>16</v>
      </c>
      <c r="AO34" s="251"/>
      <c r="AP34" s="287"/>
      <c r="AQ34" s="306"/>
      <c r="AR34" s="244"/>
      <c r="AS34" s="280"/>
      <c r="AT34" s="294"/>
      <c r="AU34" s="244"/>
      <c r="AV34" s="280"/>
      <c r="AW34" s="295"/>
    </row>
    <row r="35" spans="1:133" s="88" customFormat="1" ht="14.25" customHeight="1">
      <c r="A35" s="117" t="s">
        <v>240</v>
      </c>
      <c r="B35" s="242"/>
      <c r="C35" s="279"/>
      <c r="D35" s="293"/>
      <c r="E35" s="81"/>
      <c r="F35" s="242"/>
      <c r="G35" s="81"/>
      <c r="H35" s="346"/>
      <c r="J35" s="117"/>
      <c r="K35" s="242"/>
      <c r="L35" s="279"/>
      <c r="M35" s="293"/>
      <c r="N35" s="119"/>
      <c r="O35" s="227"/>
      <c r="P35" s="81"/>
      <c r="Q35" s="91"/>
      <c r="S35" s="117" t="s">
        <v>249</v>
      </c>
      <c r="T35" s="242"/>
      <c r="U35" s="277"/>
      <c r="V35" s="291"/>
      <c r="W35" s="242"/>
      <c r="X35" s="279"/>
      <c r="Y35" s="293"/>
      <c r="Z35" s="244">
        <v>160</v>
      </c>
      <c r="AA35" s="278" t="str">
        <f>IF(INT(Z35/4000)&gt;=1,INT(Z35/4000)&amp;" thùng + "&amp;MOD(Z35,4000)/100&amp;" túi ",VALUE(Z35/100)&amp;"túi")</f>
        <v>1.6túi</v>
      </c>
      <c r="AB35" s="401"/>
      <c r="AC35" s="424"/>
      <c r="AD35" s="116" t="s">
        <v>28</v>
      </c>
      <c r="AE35" s="250"/>
      <c r="AF35" s="286"/>
      <c r="AG35" s="305"/>
      <c r="AH35" s="250"/>
      <c r="AI35" s="286"/>
      <c r="AJ35" s="305"/>
      <c r="AK35" s="254"/>
      <c r="AL35" s="126"/>
      <c r="AM35" s="430"/>
      <c r="AN35" s="117" t="s">
        <v>28</v>
      </c>
      <c r="AO35" s="250"/>
      <c r="AP35" s="286"/>
      <c r="AQ35" s="305"/>
      <c r="AR35" s="242"/>
      <c r="AS35" s="279"/>
      <c r="AT35" s="293"/>
      <c r="AU35" s="242">
        <v>300</v>
      </c>
      <c r="AV35" s="277" t="str">
        <f>IF(INT(AU35/400)&gt;=1,INT(AU35/400)&amp;" thùng + "&amp;MOD(AU35,400)/100&amp;" túi ",VALUE(AU35/100)&amp;"túi")</f>
        <v>3túi</v>
      </c>
      <c r="AW35" s="296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</row>
    <row r="36" spans="1:133" ht="14.25" customHeight="1">
      <c r="A36" s="129" t="s">
        <v>244</v>
      </c>
      <c r="B36" s="244">
        <v>1000</v>
      </c>
      <c r="C36" s="277" t="str">
        <f>IF(INT(B36/500)&gt;=1,INT(B36/500)&amp;" thùng + "&amp;MOD(B36,500)/100&amp;" túi ",VALUE(B36/100)&amp;"túi")</f>
        <v xml:space="preserve">2 thùng + 0 túi </v>
      </c>
      <c r="D36" s="306"/>
      <c r="E36" s="123"/>
      <c r="F36" s="251"/>
      <c r="G36" s="123"/>
      <c r="H36" s="353"/>
      <c r="J36" s="206"/>
      <c r="K36" s="316"/>
      <c r="L36" s="280"/>
      <c r="M36" s="294"/>
      <c r="N36" s="120"/>
      <c r="O36" s="246"/>
      <c r="P36" s="71"/>
      <c r="Q36" s="102"/>
      <c r="S36" s="103" t="s">
        <v>251</v>
      </c>
      <c r="T36" s="244"/>
      <c r="U36" s="278"/>
      <c r="V36" s="292"/>
      <c r="W36" s="244"/>
      <c r="X36" s="280"/>
      <c r="Y36" s="294"/>
      <c r="Z36" s="244">
        <v>160</v>
      </c>
      <c r="AA36" s="277" t="str">
        <f>IF(INT(Z36/50)&gt;=1,INT(Z36/50)&amp;" thùng + "&amp;MOD(Z36,50)&amp;" cái ",VALUE(Z36)&amp;"cái")</f>
        <v xml:space="preserve">3 thùng + 10 cái </v>
      </c>
      <c r="AB36" s="402"/>
      <c r="AC36" s="425"/>
      <c r="AD36" s="100" t="s">
        <v>24</v>
      </c>
      <c r="AE36" s="251"/>
      <c r="AF36" s="287"/>
      <c r="AG36" s="306"/>
      <c r="AH36" s="251"/>
      <c r="AI36" s="287"/>
      <c r="AJ36" s="306"/>
      <c r="AK36" s="255"/>
      <c r="AL36" s="130"/>
      <c r="AM36" s="417"/>
      <c r="AN36" s="105" t="s">
        <v>24</v>
      </c>
      <c r="AO36" s="251"/>
      <c r="AP36" s="287"/>
      <c r="AQ36" s="306"/>
      <c r="AR36" s="244"/>
      <c r="AS36" s="280"/>
      <c r="AT36" s="294"/>
      <c r="AU36" s="244">
        <v>300</v>
      </c>
      <c r="AV36" s="278" t="str">
        <f t="shared" ref="AV36:AV37" si="8">IF(INT(AU36/400)&gt;=1,INT(AU36/400)&amp;" thùng + "&amp;MOD(AU36,400)/100&amp;" túi ",VALUE(AU36/100)&amp;"túi")</f>
        <v>3túi</v>
      </c>
      <c r="AW36" s="297"/>
    </row>
    <row r="37" spans="1:133" s="88" customFormat="1" ht="14.25" customHeight="1">
      <c r="A37" s="117" t="s">
        <v>280</v>
      </c>
      <c r="B37" s="242"/>
      <c r="C37" s="279"/>
      <c r="D37" s="293"/>
      <c r="E37" s="117" t="s">
        <v>280</v>
      </c>
      <c r="F37" s="242"/>
      <c r="G37" s="278" t="str">
        <f>IF(INT(F37/200)&gt;=1,INT(F37/200)&amp;" thùng + "&amp;MOD(F37,200)&amp;" cái",VALUE(F37)&amp;"cái")</f>
        <v>0cái</v>
      </c>
      <c r="H37" s="346"/>
      <c r="J37" s="235"/>
      <c r="K37" s="331"/>
      <c r="L37" s="279"/>
      <c r="M37" s="293"/>
      <c r="N37" s="81"/>
      <c r="O37" s="227"/>
      <c r="P37" s="81"/>
      <c r="Q37" s="91"/>
      <c r="S37" s="117" t="s">
        <v>270</v>
      </c>
      <c r="T37" s="242"/>
      <c r="U37" s="277"/>
      <c r="V37" s="291"/>
      <c r="W37" s="242"/>
      <c r="X37" s="279"/>
      <c r="Y37" s="293"/>
      <c r="Z37" s="244">
        <v>180</v>
      </c>
      <c r="AA37" s="277" t="str">
        <f>IF(INT(Z37/1000)&gt;=1,INT(Z37/1000)&amp;" thùng + "&amp;MOD(Z37,1000)/100&amp;" túi ",VALUE(Z37/100)&amp;"túi")</f>
        <v>1.8túi</v>
      </c>
      <c r="AB37" s="401"/>
      <c r="AC37" s="424"/>
      <c r="AD37" s="116" t="s">
        <v>27</v>
      </c>
      <c r="AE37" s="250"/>
      <c r="AF37" s="286"/>
      <c r="AG37" s="305"/>
      <c r="AH37" s="250"/>
      <c r="AI37" s="286"/>
      <c r="AJ37" s="305"/>
      <c r="AK37" s="254"/>
      <c r="AL37" s="126"/>
      <c r="AM37" s="430"/>
      <c r="AN37" s="117" t="s">
        <v>27</v>
      </c>
      <c r="AO37" s="250"/>
      <c r="AP37" s="286"/>
      <c r="AQ37" s="305"/>
      <c r="AR37" s="242"/>
      <c r="AS37" s="279"/>
      <c r="AT37" s="293"/>
      <c r="AU37" s="242"/>
      <c r="AV37" s="277" t="str">
        <f t="shared" si="8"/>
        <v>0túi</v>
      </c>
      <c r="AW37" s="296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  <c r="DH37" s="61"/>
      <c r="DI37" s="61"/>
      <c r="DJ37" s="61"/>
      <c r="DK37" s="61"/>
      <c r="DL37" s="61"/>
      <c r="DM37" s="61"/>
      <c r="DN37" s="61"/>
      <c r="DO37" s="61"/>
      <c r="DP37" s="61"/>
      <c r="DQ37" s="61"/>
      <c r="DR37" s="61"/>
      <c r="DS37" s="61"/>
      <c r="DT37" s="61"/>
      <c r="DU37" s="61"/>
      <c r="DV37" s="61"/>
      <c r="DW37" s="61"/>
      <c r="DX37" s="61"/>
      <c r="DY37" s="61"/>
      <c r="DZ37" s="61"/>
      <c r="EA37" s="61"/>
      <c r="EB37" s="61"/>
      <c r="EC37" s="61"/>
    </row>
    <row r="38" spans="1:133" ht="14.25" customHeight="1">
      <c r="A38" s="457" t="s">
        <v>281</v>
      </c>
      <c r="B38" s="326"/>
      <c r="C38" s="277" t="str">
        <f>IF(INT(B38/4000)&gt;=1,INT(B38/4000)&amp;" thùng + "&amp;MOD(B38,4000)/100&amp;" túi ",VALUE(B38/100)&amp;"túi")</f>
        <v>0túi</v>
      </c>
      <c r="D38" s="280"/>
      <c r="E38" s="457"/>
      <c r="F38" s="244"/>
      <c r="G38" s="71"/>
      <c r="H38" s="347"/>
      <c r="J38" s="228"/>
      <c r="K38" s="244"/>
      <c r="L38" s="280"/>
      <c r="M38" s="294"/>
      <c r="N38" s="71"/>
      <c r="O38" s="246"/>
      <c r="P38" s="71"/>
      <c r="Q38" s="102"/>
      <c r="S38" s="103" t="s">
        <v>253</v>
      </c>
      <c r="T38" s="244"/>
      <c r="U38" s="278"/>
      <c r="V38" s="292"/>
      <c r="W38" s="244"/>
      <c r="X38" s="280"/>
      <c r="Y38" s="294"/>
      <c r="Z38" s="449">
        <v>320</v>
      </c>
      <c r="AA38" s="278" t="str">
        <f>IF(INT(Z38/3000)&gt;=1,INT(Z38/3000)&amp;" thùng + "&amp;MOD(Z38,3000)/100&amp;" túi ",VALUE(Z38/100)&amp;"túi")</f>
        <v>3.2túi</v>
      </c>
      <c r="AB38" s="402"/>
      <c r="AC38" s="425"/>
      <c r="AD38" s="115" t="s">
        <v>29</v>
      </c>
      <c r="AE38" s="244"/>
      <c r="AF38" s="280"/>
      <c r="AG38" s="294"/>
      <c r="AH38" s="244"/>
      <c r="AI38" s="280"/>
      <c r="AJ38" s="294"/>
      <c r="AK38" s="246"/>
      <c r="AL38" s="102"/>
      <c r="AM38" s="417"/>
      <c r="AN38" s="103" t="s">
        <v>29</v>
      </c>
      <c r="AO38" s="244"/>
      <c r="AP38" s="280"/>
      <c r="AQ38" s="294"/>
      <c r="AR38" s="244"/>
      <c r="AS38" s="280"/>
      <c r="AT38" s="294"/>
      <c r="AU38" s="244">
        <v>300</v>
      </c>
      <c r="AV38" s="278" t="str">
        <f>IF(INT(AU38/3000)&gt;=1,INT(AU38/3000)&amp;" thùng + "&amp;MOD(AU38,3000)/100&amp;" túi ",VALUE(AU38/100)&amp;"túi")</f>
        <v>3túi</v>
      </c>
      <c r="AW38" s="297"/>
    </row>
    <row r="39" spans="1:133" s="88" customFormat="1" ht="14.25" customHeight="1">
      <c r="A39" s="105"/>
      <c r="B39" s="327"/>
      <c r="C39" s="277"/>
      <c r="D39" s="81"/>
      <c r="E39" s="81"/>
      <c r="F39" s="119"/>
      <c r="G39" s="81"/>
      <c r="H39" s="346"/>
      <c r="J39" s="105"/>
      <c r="K39" s="196"/>
      <c r="L39" s="279"/>
      <c r="M39" s="293"/>
      <c r="N39" s="81"/>
      <c r="O39" s="227"/>
      <c r="P39" s="81"/>
      <c r="Q39" s="91"/>
      <c r="S39" s="117" t="s">
        <v>252</v>
      </c>
      <c r="T39" s="242"/>
      <c r="U39" s="277"/>
      <c r="V39" s="291"/>
      <c r="W39" s="242"/>
      <c r="X39" s="279"/>
      <c r="Y39" s="293"/>
      <c r="Z39" s="244">
        <v>80</v>
      </c>
      <c r="AA39" s="278" t="str">
        <f t="shared" ref="AA39" si="9">IF(INT(Z39/2000)&gt;=1,INT(Z39/2000)&amp;" thùng + "&amp;MOD(Z39,2000)/100&amp;" túi ",VALUE(Z39/100)&amp;"túi")</f>
        <v>0.8túi</v>
      </c>
      <c r="AB39" s="401"/>
      <c r="AC39" s="424"/>
      <c r="AD39" s="116" t="s">
        <v>26</v>
      </c>
      <c r="AE39" s="242"/>
      <c r="AF39" s="279"/>
      <c r="AG39" s="293"/>
      <c r="AH39" s="242"/>
      <c r="AI39" s="279"/>
      <c r="AJ39" s="293"/>
      <c r="AK39" s="227"/>
      <c r="AL39" s="91"/>
      <c r="AM39" s="430"/>
      <c r="AN39" s="117" t="s">
        <v>26</v>
      </c>
      <c r="AO39" s="242"/>
      <c r="AP39" s="279"/>
      <c r="AQ39" s="293"/>
      <c r="AR39" s="242"/>
      <c r="AS39" s="279"/>
      <c r="AT39" s="293"/>
      <c r="AU39" s="242">
        <v>300</v>
      </c>
      <c r="AV39" s="277" t="str">
        <f>IF(INT(AU39/400)&gt;=1,INT(AU39/400)&amp;" thùng + "&amp;MOD(AU39,400)/100&amp;" túi ",VALUE(AU39/100)&amp;"túi")</f>
        <v>3túi</v>
      </c>
      <c r="AW39" s="296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  <c r="DH39" s="61"/>
      <c r="DI39" s="61"/>
      <c r="DJ39" s="61"/>
      <c r="DK39" s="61"/>
      <c r="DL39" s="61"/>
      <c r="DM39" s="61"/>
      <c r="DN39" s="61"/>
      <c r="DO39" s="61"/>
      <c r="DP39" s="61"/>
      <c r="DQ39" s="61"/>
      <c r="DR39" s="61"/>
      <c r="DS39" s="61"/>
      <c r="DT39" s="61"/>
      <c r="DU39" s="61"/>
      <c r="DV39" s="61"/>
      <c r="DW39" s="61"/>
      <c r="DX39" s="61"/>
      <c r="DY39" s="61"/>
      <c r="DZ39" s="61"/>
      <c r="EA39" s="61"/>
      <c r="EB39" s="61"/>
      <c r="EC39" s="61"/>
    </row>
    <row r="40" spans="1:133" ht="14.25" customHeight="1">
      <c r="A40" s="105" t="s">
        <v>52</v>
      </c>
      <c r="B40" s="244"/>
      <c r="C40" s="280"/>
      <c r="D40" s="71"/>
      <c r="E40" s="71"/>
      <c r="F40" s="120"/>
      <c r="G40" s="71"/>
      <c r="H40" s="347"/>
      <c r="J40" s="117"/>
      <c r="K40" s="197"/>
      <c r="L40" s="280"/>
      <c r="M40" s="294"/>
      <c r="N40" s="71"/>
      <c r="O40" s="246"/>
      <c r="P40" s="71"/>
      <c r="Q40" s="102"/>
      <c r="S40" s="105" t="s">
        <v>276</v>
      </c>
      <c r="T40" s="244"/>
      <c r="U40" s="278"/>
      <c r="V40" s="292"/>
      <c r="W40" s="244"/>
      <c r="X40" s="280"/>
      <c r="Y40" s="294"/>
      <c r="Z40" s="244"/>
      <c r="AA40" s="277" t="str">
        <f>IF(INT(Z40/500)&gt;=1,INT(Z40/500)&amp;" thùng + "&amp;MOD(Z40,500)/100&amp;" túi ",VALUE(Z40)&amp;"cái")</f>
        <v>0cái</v>
      </c>
      <c r="AB40" s="398"/>
      <c r="AC40" s="423"/>
      <c r="AD40" s="115" t="s">
        <v>25</v>
      </c>
      <c r="AE40" s="244"/>
      <c r="AF40" s="280"/>
      <c r="AG40" s="294"/>
      <c r="AH40" s="244"/>
      <c r="AI40" s="280"/>
      <c r="AJ40" s="294"/>
      <c r="AK40" s="246"/>
      <c r="AL40" s="102"/>
      <c r="AM40" s="417"/>
      <c r="AN40" s="103" t="s">
        <v>25</v>
      </c>
      <c r="AO40" s="244"/>
      <c r="AP40" s="280"/>
      <c r="AQ40" s="294"/>
      <c r="AR40" s="244"/>
      <c r="AS40" s="280"/>
      <c r="AT40" s="294"/>
      <c r="AU40" s="244">
        <v>300</v>
      </c>
      <c r="AV40" s="278" t="str">
        <f>IF(INT(AU40/50)&gt;=1,INT(AU40/50)&amp;" thùng + "&amp;MOD(AU40,50)/50&amp;" túi ",VALUE(AU40/50)&amp;"túi")</f>
        <v xml:space="preserve">6 thùng + 0 túi </v>
      </c>
      <c r="AW40" s="297"/>
    </row>
    <row r="41" spans="1:133" s="88" customFormat="1" ht="14.25" customHeight="1">
      <c r="A41" s="105" t="s">
        <v>62</v>
      </c>
      <c r="B41" s="242"/>
      <c r="C41" s="279"/>
      <c r="D41" s="81"/>
      <c r="E41" s="81"/>
      <c r="F41" s="119"/>
      <c r="G41" s="81"/>
      <c r="H41" s="346"/>
      <c r="J41" s="117"/>
      <c r="K41" s="197"/>
      <c r="L41" s="279"/>
      <c r="M41" s="293"/>
      <c r="N41" s="81"/>
      <c r="O41" s="227"/>
      <c r="P41" s="81"/>
      <c r="Q41" s="91"/>
      <c r="S41" s="114" t="s">
        <v>117</v>
      </c>
      <c r="T41" s="242"/>
      <c r="U41" s="277"/>
      <c r="V41" s="291"/>
      <c r="W41" s="242"/>
      <c r="X41" s="279"/>
      <c r="Y41" s="293"/>
      <c r="Z41" s="244">
        <v>500</v>
      </c>
      <c r="AA41" s="277" t="str">
        <f>IF(INT(Z41/100)&gt;=1,INT(Z41/100)&amp;" thùng + "&amp;MOD(Z41,100)/50&amp;" túi ",VALUE(Z41)&amp;"cái")</f>
        <v xml:space="preserve">5 thùng + 0 túi </v>
      </c>
      <c r="AB41" s="398"/>
      <c r="AC41" s="423"/>
      <c r="AD41" s="116" t="s">
        <v>48</v>
      </c>
      <c r="AE41" s="242"/>
      <c r="AF41" s="279"/>
      <c r="AG41" s="293"/>
      <c r="AH41" s="242"/>
      <c r="AI41" s="279"/>
      <c r="AJ41" s="81"/>
      <c r="AK41" s="227"/>
      <c r="AL41" s="91"/>
      <c r="AM41" s="430"/>
      <c r="AN41" s="117" t="s">
        <v>47</v>
      </c>
      <c r="AO41" s="242"/>
      <c r="AP41" s="279"/>
      <c r="AQ41" s="293"/>
      <c r="AR41" s="242"/>
      <c r="AS41" s="279"/>
      <c r="AT41" s="293"/>
      <c r="AU41" s="242"/>
      <c r="AV41" s="277" t="str">
        <f>IF(INT(AU41/200)&gt;=1,INT(AU41/200)&amp;" thùng + "&amp;MOD(AU41,200)/100&amp;" túi ",VALUE(AU41/100)&amp;"túi")</f>
        <v>0túi</v>
      </c>
      <c r="AW41" s="296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</row>
    <row r="42" spans="1:133" ht="14.25" customHeight="1">
      <c r="A42" s="129"/>
      <c r="B42" s="244"/>
      <c r="C42" s="280"/>
      <c r="D42" s="71"/>
      <c r="E42" s="71"/>
      <c r="F42" s="120"/>
      <c r="G42" s="71"/>
      <c r="H42" s="347"/>
      <c r="J42" s="105"/>
      <c r="K42" s="244"/>
      <c r="L42" s="280"/>
      <c r="M42" s="294"/>
      <c r="N42" s="120"/>
      <c r="O42" s="246"/>
      <c r="P42" s="71"/>
      <c r="Q42" s="102"/>
      <c r="S42" s="105" t="s">
        <v>101</v>
      </c>
      <c r="T42" s="244"/>
      <c r="U42" s="278"/>
      <c r="V42" s="292"/>
      <c r="W42" s="244"/>
      <c r="X42" s="280"/>
      <c r="Y42" s="294"/>
      <c r="Z42" s="244">
        <v>1000</v>
      </c>
      <c r="AA42" s="278" t="str">
        <f>IF(INT(Z42/3000)&gt;=1,INT(Z42/3000)&amp;" thùng + "&amp;MOD(Z42,3000)/100&amp;" túi ",VALUE(Z42/100)&amp;"túi")</f>
        <v>10túi</v>
      </c>
      <c r="AB42" s="397"/>
      <c r="AC42" s="422"/>
      <c r="AD42" s="100" t="s">
        <v>115</v>
      </c>
      <c r="AE42" s="244"/>
      <c r="AF42" s="280"/>
      <c r="AG42" s="294"/>
      <c r="AH42" s="244"/>
      <c r="AI42" s="280"/>
      <c r="AJ42" s="71"/>
      <c r="AK42" s="246"/>
      <c r="AL42" s="102"/>
      <c r="AM42" s="417"/>
      <c r="AN42" s="105" t="s">
        <v>249</v>
      </c>
      <c r="AO42" s="244"/>
      <c r="AP42" s="278" t="str">
        <f>IF(INT(AO42/4000)&gt;=1,INT(AO42/4000)&amp;" thùng + "&amp;MOD(AO42,4000)/100&amp;" túi ",VALUE(AO42/100)&amp;"túi")</f>
        <v>0túi</v>
      </c>
      <c r="AQ42" s="294"/>
      <c r="AR42" s="244"/>
      <c r="AS42" s="280"/>
      <c r="AT42" s="294"/>
      <c r="AU42" s="244"/>
      <c r="AV42" s="280"/>
      <c r="AW42" s="295"/>
    </row>
    <row r="43" spans="1:133" s="88" customFormat="1" ht="14.25" customHeight="1">
      <c r="A43" s="117"/>
      <c r="B43" s="242"/>
      <c r="C43" s="279"/>
      <c r="D43" s="81"/>
      <c r="E43" s="81"/>
      <c r="F43" s="119"/>
      <c r="G43" s="81"/>
      <c r="H43" s="346"/>
      <c r="J43" s="117"/>
      <c r="K43" s="119"/>
      <c r="L43" s="279"/>
      <c r="M43" s="293"/>
      <c r="N43" s="119"/>
      <c r="O43" s="227"/>
      <c r="P43" s="81"/>
      <c r="Q43" s="91"/>
      <c r="S43" s="117" t="s">
        <v>102</v>
      </c>
      <c r="T43" s="242"/>
      <c r="U43" s="277"/>
      <c r="V43" s="291"/>
      <c r="W43" s="242"/>
      <c r="X43" s="279"/>
      <c r="Y43" s="293"/>
      <c r="Z43" s="244">
        <v>500</v>
      </c>
      <c r="AA43" s="277" t="str">
        <f>IF(INT(Z43/1000)&gt;=1,INT(Z43/1000)&amp;" thùng + "&amp;MOD(Z43,1000)/100&amp;" túi ",VALUE(Z43/100)&amp;"túi")</f>
        <v>5túi</v>
      </c>
      <c r="AB43" s="399"/>
      <c r="AC43" s="423"/>
      <c r="AD43" s="85" t="s">
        <v>10</v>
      </c>
      <c r="AE43" s="242"/>
      <c r="AF43" s="279"/>
      <c r="AG43" s="293"/>
      <c r="AH43" s="242"/>
      <c r="AI43" s="279"/>
      <c r="AJ43" s="81"/>
      <c r="AK43" s="227"/>
      <c r="AL43" s="91"/>
      <c r="AM43" s="430"/>
      <c r="AN43" s="239" t="s">
        <v>250</v>
      </c>
      <c r="AO43" s="242"/>
      <c r="AP43" s="279"/>
      <c r="AQ43" s="293"/>
      <c r="AR43" s="242"/>
      <c r="AS43" s="279"/>
      <c r="AT43" s="293"/>
      <c r="AU43" s="242"/>
      <c r="AV43" s="279"/>
      <c r="AW43" s="298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</row>
    <row r="44" spans="1:133" ht="14.25" customHeight="1">
      <c r="A44" s="105"/>
      <c r="B44" s="120"/>
      <c r="C44" s="280"/>
      <c r="D44" s="71"/>
      <c r="E44" s="71"/>
      <c r="F44" s="120"/>
      <c r="G44" s="71"/>
      <c r="H44" s="347"/>
      <c r="J44" s="105"/>
      <c r="K44" s="120"/>
      <c r="L44" s="280"/>
      <c r="M44" s="294"/>
      <c r="N44" s="120"/>
      <c r="O44" s="246"/>
      <c r="P44" s="71"/>
      <c r="Q44" s="102"/>
      <c r="S44" s="105" t="s">
        <v>103</v>
      </c>
      <c r="T44" s="244"/>
      <c r="U44" s="278"/>
      <c r="V44" s="292"/>
      <c r="W44" s="244"/>
      <c r="X44" s="280"/>
      <c r="Y44" s="294"/>
      <c r="Z44" s="244">
        <v>500</v>
      </c>
      <c r="AA44" s="278" t="str">
        <f>IF(INT(Z44/4000)&gt;=1,INT(Z44/4000)&amp;" thùng + "&amp;MOD(Z44,4000)/100&amp;" túi ",VALUE(Z44/100)&amp;"túi")</f>
        <v>5túi</v>
      </c>
      <c r="AB44" s="403"/>
      <c r="AC44" s="422"/>
      <c r="AD44" s="128" t="s">
        <v>105</v>
      </c>
      <c r="AE44" s="244"/>
      <c r="AF44" s="280"/>
      <c r="AG44" s="294"/>
      <c r="AH44" s="244"/>
      <c r="AI44" s="280"/>
      <c r="AJ44" s="71"/>
      <c r="AK44" s="246"/>
      <c r="AL44" s="102"/>
      <c r="AM44" s="417"/>
      <c r="AN44" s="129" t="s">
        <v>85</v>
      </c>
      <c r="AO44" s="244"/>
      <c r="AP44" s="278" t="str">
        <f>IF(INT(AO44/25)&gt;=1,INT(AO44/25)&amp;" thùng + "&amp;MOD(AO44,25)/20&amp;" cái ",VALUE(AO44)&amp;"cái")</f>
        <v>0cái</v>
      </c>
      <c r="AQ44" s="294"/>
      <c r="AR44" s="244"/>
      <c r="AS44" s="280"/>
      <c r="AT44" s="294"/>
      <c r="AU44" s="244"/>
      <c r="AV44" s="278" t="str">
        <f>IF(INT(AU44/200)&gt;=1,INT(AU44/200)&amp;" thùng + "&amp;MOD(AU44,200)/100&amp;" túi ",VALUE(AU44/100)&amp;"túi")</f>
        <v>0túi</v>
      </c>
      <c r="AW44" s="297"/>
    </row>
    <row r="45" spans="1:133" s="88" customFormat="1" ht="14.25" customHeight="1">
      <c r="A45" s="117"/>
      <c r="B45" s="119"/>
      <c r="C45" s="279"/>
      <c r="D45" s="81"/>
      <c r="E45" s="81"/>
      <c r="F45" s="119"/>
      <c r="G45" s="81"/>
      <c r="H45" s="346"/>
      <c r="J45" s="117"/>
      <c r="K45" s="119"/>
      <c r="L45" s="293"/>
      <c r="M45" s="293"/>
      <c r="N45" s="81"/>
      <c r="O45" s="227"/>
      <c r="P45" s="81"/>
      <c r="Q45" s="91"/>
      <c r="S45" s="114" t="s">
        <v>20</v>
      </c>
      <c r="T45" s="242"/>
      <c r="U45" s="277"/>
      <c r="V45" s="291"/>
      <c r="W45" s="242">
        <v>800</v>
      </c>
      <c r="X45" s="277" t="str">
        <f>IF(INT(W45/400)&gt;=1,INT(W45/400)&amp;" thùng + "&amp;MOD(W45,400)/100&amp;" túi ",VALUE(W45)&amp;"cái")</f>
        <v xml:space="preserve">2 thùng + 0 túi </v>
      </c>
      <c r="Y45" s="291"/>
      <c r="Z45" s="244"/>
      <c r="AA45" s="376"/>
      <c r="AB45" s="404"/>
      <c r="AC45" s="426"/>
      <c r="AD45" s="412" t="s">
        <v>83</v>
      </c>
      <c r="AE45" s="242"/>
      <c r="AF45" s="279"/>
      <c r="AG45" s="293"/>
      <c r="AH45" s="242"/>
      <c r="AI45" s="279"/>
      <c r="AJ45" s="81"/>
      <c r="AK45" s="227"/>
      <c r="AL45" s="91"/>
      <c r="AM45" s="430"/>
      <c r="AN45" s="234" t="s">
        <v>23</v>
      </c>
      <c r="AO45" s="242"/>
      <c r="AP45" s="279"/>
      <c r="AQ45" s="293"/>
      <c r="AR45" s="242"/>
      <c r="AS45" s="279"/>
      <c r="AT45" s="293"/>
      <c r="AU45" s="242"/>
      <c r="AV45" s="279"/>
      <c r="AW45" s="298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</row>
    <row r="46" spans="1:133" ht="14.25" customHeight="1">
      <c r="A46" s="105"/>
      <c r="B46" s="120"/>
      <c r="C46" s="280"/>
      <c r="D46" s="71"/>
      <c r="E46" s="71"/>
      <c r="F46" s="120"/>
      <c r="G46" s="71"/>
      <c r="H46" s="347"/>
      <c r="J46" s="105"/>
      <c r="K46" s="120"/>
      <c r="L46" s="294"/>
      <c r="M46" s="294"/>
      <c r="N46" s="71"/>
      <c r="O46" s="246"/>
      <c r="P46" s="71"/>
      <c r="Q46" s="102"/>
      <c r="S46" s="105" t="s">
        <v>55</v>
      </c>
      <c r="T46" s="244"/>
      <c r="U46" s="278"/>
      <c r="V46" s="292"/>
      <c r="W46" s="244">
        <v>800</v>
      </c>
      <c r="X46" s="278" t="str">
        <f>IF(INT(W46/100)&gt;=1,INT(W46/100)&amp;" thùng + "&amp;MOD(W46,100)/100&amp;" túi ",VALUE(W46)&amp;"cái")</f>
        <v xml:space="preserve">8 thùng + 0 túi </v>
      </c>
      <c r="Y46" s="314"/>
      <c r="Z46" s="251"/>
      <c r="AA46" s="278" t="str">
        <f>IF(INT(Z46/100)&gt;=1,INT(Z46/100)&amp;" thùng + "&amp;MOD(Z46,100)&amp;" cái ",VALUE(Z46)&amp;"cái")</f>
        <v>0cái</v>
      </c>
      <c r="AB46" s="403"/>
      <c r="AC46" s="422"/>
      <c r="AD46" s="128" t="s">
        <v>108</v>
      </c>
      <c r="AE46" s="244"/>
      <c r="AF46" s="280"/>
      <c r="AG46" s="294"/>
      <c r="AH46" s="244"/>
      <c r="AI46" s="280"/>
      <c r="AJ46" s="71"/>
      <c r="AK46" s="246"/>
      <c r="AL46" s="102"/>
      <c r="AM46" s="417"/>
      <c r="AN46" s="129" t="s">
        <v>108</v>
      </c>
      <c r="AO46" s="244"/>
      <c r="AP46" s="280"/>
      <c r="AQ46" s="294"/>
      <c r="AR46" s="244"/>
      <c r="AS46" s="278" t="str">
        <f>IF(INT(AR46/600)&gt;=1,INT(AR46/600)&amp;" thùng + "&amp;MOD(AR46,600)/100&amp;" túi ",VALUE(AR46/100)&amp;"túi")</f>
        <v>0túi</v>
      </c>
      <c r="AT46" s="292"/>
      <c r="AU46" s="244"/>
      <c r="AV46" s="280"/>
      <c r="AW46" s="295"/>
    </row>
    <row r="47" spans="1:133" s="88" customFormat="1" ht="14.25" customHeight="1">
      <c r="A47" s="117"/>
      <c r="B47" s="119"/>
      <c r="C47" s="279"/>
      <c r="D47" s="81"/>
      <c r="E47" s="81"/>
      <c r="F47" s="119"/>
      <c r="G47" s="81"/>
      <c r="H47" s="346"/>
      <c r="J47" s="117"/>
      <c r="K47" s="119"/>
      <c r="L47" s="293"/>
      <c r="M47" s="293"/>
      <c r="N47" s="81"/>
      <c r="O47" s="227"/>
      <c r="P47" s="81"/>
      <c r="Q47" s="91"/>
      <c r="S47" s="114" t="s">
        <v>22</v>
      </c>
      <c r="T47" s="242"/>
      <c r="U47" s="277"/>
      <c r="V47" s="291"/>
      <c r="W47" s="242">
        <v>800</v>
      </c>
      <c r="X47" s="278" t="str">
        <f>IF(INT(W47/50)&gt;=1,INT(W47/50)&amp;" thùng + "&amp;MOD(W47,50)/10&amp;" túi ",VALUE(W47/10)&amp;"túi")</f>
        <v xml:space="preserve">16 thùng + 0 túi </v>
      </c>
      <c r="Y47" s="291"/>
      <c r="Z47" s="244">
        <v>120</v>
      </c>
      <c r="AA47" s="278" t="str">
        <f>IF(INT(Z47/50)&gt;=1,INT(Z47/50)&amp;" thùng + "&amp;MOD(Z47,50)/10&amp;" túi ",VALUE(Z47/10)&amp;"túi")</f>
        <v xml:space="preserve">2 thùng + 2 túi </v>
      </c>
      <c r="AB47" s="398"/>
      <c r="AC47" s="423"/>
      <c r="AD47" s="112" t="s">
        <v>22</v>
      </c>
      <c r="AE47" s="242"/>
      <c r="AF47" s="279"/>
      <c r="AG47" s="293"/>
      <c r="AH47" s="242"/>
      <c r="AI47" s="279"/>
      <c r="AJ47" s="81"/>
      <c r="AK47" s="227"/>
      <c r="AL47" s="91"/>
      <c r="AM47" s="430"/>
      <c r="AN47" s="114" t="s">
        <v>22</v>
      </c>
      <c r="AO47" s="242"/>
      <c r="AP47" s="279"/>
      <c r="AQ47" s="293"/>
      <c r="AR47" s="242"/>
      <c r="AS47" s="278" t="str">
        <f>IF(INT(AR47/50)&gt;=1,INT(AR47/50)&amp;" thùng + "&amp;MOD(AR47,50)/10&amp;" túi ",VALUE(AR47/10)&amp;"túi")</f>
        <v>0túi</v>
      </c>
      <c r="AT47" s="364"/>
      <c r="AU47" s="242"/>
      <c r="AV47" s="279"/>
      <c r="AW47" s="298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</row>
    <row r="48" spans="1:133" ht="14.25" customHeight="1">
      <c r="A48" s="105"/>
      <c r="B48" s="120"/>
      <c r="C48" s="280"/>
      <c r="D48" s="71"/>
      <c r="E48" s="71"/>
      <c r="F48" s="120"/>
      <c r="G48" s="71"/>
      <c r="H48" s="347"/>
      <c r="J48" s="105"/>
      <c r="K48" s="120"/>
      <c r="L48" s="294"/>
      <c r="M48" s="294"/>
      <c r="N48" s="71"/>
      <c r="O48" s="246"/>
      <c r="P48" s="71"/>
      <c r="Q48" s="102"/>
      <c r="S48" s="105" t="s">
        <v>54</v>
      </c>
      <c r="T48" s="244"/>
      <c r="U48" s="278"/>
      <c r="V48" s="292"/>
      <c r="W48" s="244">
        <v>1200</v>
      </c>
      <c r="X48" s="278" t="str">
        <f>IF(INT(W48/100)&gt;=1,INT(W48/100)&amp;" thùng + "&amp;MOD(W48,100)/100&amp;" túi ",VALUE(W48)&amp;"cái")</f>
        <v xml:space="preserve">12 thùng + 0 túi </v>
      </c>
      <c r="Y48" s="314"/>
      <c r="Z48" s="251"/>
      <c r="AA48" s="377"/>
      <c r="AB48" s="405"/>
      <c r="AC48" s="427"/>
      <c r="AD48" s="413" t="s">
        <v>42</v>
      </c>
      <c r="AE48" s="244"/>
      <c r="AF48" s="278"/>
      <c r="AG48" s="307"/>
      <c r="AH48" s="244"/>
      <c r="AI48" s="280"/>
      <c r="AJ48" s="71"/>
      <c r="AK48" s="246"/>
      <c r="AL48" s="102"/>
      <c r="AM48" s="417"/>
      <c r="AN48" s="121" t="s">
        <v>251</v>
      </c>
      <c r="AO48" s="450"/>
      <c r="AP48" s="280"/>
      <c r="AQ48" s="294"/>
      <c r="AR48" s="244"/>
      <c r="AS48" s="280"/>
      <c r="AT48" s="294"/>
      <c r="AU48" s="244"/>
      <c r="AV48" s="280"/>
      <c r="AW48" s="295"/>
    </row>
    <row r="49" spans="1:133" s="88" customFormat="1" ht="14.25" customHeight="1">
      <c r="A49" s="117"/>
      <c r="B49" s="119"/>
      <c r="C49" s="81"/>
      <c r="D49" s="81"/>
      <c r="E49" s="81"/>
      <c r="F49" s="119"/>
      <c r="G49" s="81"/>
      <c r="H49" s="346"/>
      <c r="J49" s="117"/>
      <c r="K49" s="119"/>
      <c r="L49" s="293"/>
      <c r="M49" s="293"/>
      <c r="N49" s="81"/>
      <c r="O49" s="227"/>
      <c r="P49" s="81"/>
      <c r="Q49" s="91"/>
      <c r="S49" s="117" t="s">
        <v>108</v>
      </c>
      <c r="T49" s="197"/>
      <c r="U49" s="277"/>
      <c r="V49" s="291"/>
      <c r="W49" s="242">
        <v>400</v>
      </c>
      <c r="X49" s="277" t="str">
        <f>IF(INT(W49/600)&gt;=1,INT(W49/600)&amp;" thùng + "&amp;MOD(W49,600)/20&amp;" túi ",VALUE(W49)&amp;"cái")</f>
        <v>400cái</v>
      </c>
      <c r="Y49" s="291"/>
      <c r="Z49" s="244"/>
      <c r="AA49" s="277" t="str">
        <f>IF(INT(Z49/600)&gt;=1,INT(Z49/600)&amp;" thùng + "&amp;MOD(Z49,600)/20&amp;" túi ",VALUE(Z49)&amp;"cái")</f>
        <v>0cái</v>
      </c>
      <c r="AB49" s="406"/>
      <c r="AC49" s="426"/>
      <c r="AD49" s="112" t="s">
        <v>43</v>
      </c>
      <c r="AE49" s="242">
        <v>800</v>
      </c>
      <c r="AF49" s="278" t="str">
        <f>IF(INT(AE49/200)&gt;=1,INT(AE49/200)&amp;" thùng + "&amp;MOD(AE49,200)/100&amp;" túi ",VALUE(AE49)&amp;"cái")</f>
        <v xml:space="preserve">4 thùng + 0 túi </v>
      </c>
      <c r="AG49" s="310"/>
      <c r="AH49" s="242"/>
      <c r="AI49" s="279"/>
      <c r="AJ49" s="81"/>
      <c r="AK49" s="227"/>
      <c r="AL49" s="91"/>
      <c r="AM49" s="430"/>
      <c r="AN49" s="114" t="s">
        <v>43</v>
      </c>
      <c r="AO49" s="233"/>
      <c r="AP49" s="363" t="str">
        <f>IF(INT(AO49/200)&gt;=1,INT(AO49/200)&amp;" thùng + "&amp;MOD(AO49,200)/100&amp;" túi ",VALUE(AO49)&amp;"cái")</f>
        <v>0cái</v>
      </c>
      <c r="AQ49" s="364"/>
      <c r="AR49" s="242"/>
      <c r="AS49" s="279"/>
      <c r="AT49" s="293"/>
      <c r="AU49" s="242"/>
      <c r="AV49" s="279"/>
      <c r="AW49" s="298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</row>
    <row r="50" spans="1:133" ht="14.25" customHeight="1">
      <c r="A50" s="105"/>
      <c r="B50" s="120"/>
      <c r="C50" s="71"/>
      <c r="D50" s="71"/>
      <c r="E50" s="71"/>
      <c r="F50" s="120"/>
      <c r="G50" s="71"/>
      <c r="H50" s="347"/>
      <c r="J50" s="105"/>
      <c r="K50" s="120"/>
      <c r="L50" s="294"/>
      <c r="M50" s="294"/>
      <c r="N50" s="71"/>
      <c r="O50" s="246"/>
      <c r="P50" s="71"/>
      <c r="Q50" s="102"/>
      <c r="S50" s="206" t="s">
        <v>274</v>
      </c>
      <c r="T50" s="316"/>
      <c r="U50" s="277"/>
      <c r="V50" s="292"/>
      <c r="W50" s="244"/>
      <c r="X50" s="280"/>
      <c r="Y50" s="294"/>
      <c r="Z50" s="244"/>
      <c r="AA50" s="377"/>
      <c r="AB50" s="407"/>
      <c r="AC50" s="427"/>
      <c r="AD50" s="100" t="s">
        <v>19</v>
      </c>
      <c r="AE50" s="244">
        <v>200</v>
      </c>
      <c r="AF50" s="277" t="str">
        <f>IF(INT(AE50/100)&gt;=1,INT(AE50/100)&amp;" thùng + "&amp;MOD(AE50,100)/100&amp;" túi ",VALUE(AE50/100)&amp;"túi")</f>
        <v xml:space="preserve">2 thùng + 0 túi </v>
      </c>
      <c r="AG50" s="294"/>
      <c r="AH50" s="244"/>
      <c r="AI50" s="280"/>
      <c r="AJ50" s="71"/>
      <c r="AK50" s="246"/>
      <c r="AL50" s="102"/>
      <c r="AM50" s="417"/>
      <c r="AN50" s="105" t="s">
        <v>19</v>
      </c>
      <c r="AO50" s="244"/>
      <c r="AP50" s="280"/>
      <c r="AQ50" s="294"/>
      <c r="AR50" s="244"/>
      <c r="AS50" s="280"/>
      <c r="AT50" s="294"/>
      <c r="AU50" s="244"/>
      <c r="AV50" s="280"/>
      <c r="AW50" s="295"/>
    </row>
    <row r="51" spans="1:133" s="88" customFormat="1" ht="14.25" customHeight="1">
      <c r="A51" s="117"/>
      <c r="B51" s="119"/>
      <c r="C51" s="81"/>
      <c r="D51" s="81"/>
      <c r="E51" s="81"/>
      <c r="F51" s="119"/>
      <c r="G51" s="81"/>
      <c r="H51" s="346"/>
      <c r="J51" s="117"/>
      <c r="K51" s="119"/>
      <c r="L51" s="293"/>
      <c r="M51" s="293"/>
      <c r="N51" s="81"/>
      <c r="O51" s="227"/>
      <c r="P51" s="81"/>
      <c r="Q51" s="91"/>
      <c r="S51" s="256" t="s">
        <v>275</v>
      </c>
      <c r="T51" s="317"/>
      <c r="U51" s="1043"/>
      <c r="V51" s="1044"/>
      <c r="W51" s="703"/>
      <c r="X51" s="279"/>
      <c r="Y51" s="168"/>
      <c r="Z51" s="244"/>
      <c r="AA51" s="279"/>
      <c r="AB51" s="408"/>
      <c r="AC51" s="428"/>
      <c r="AD51" s="112" t="s">
        <v>17</v>
      </c>
      <c r="AE51" s="242"/>
      <c r="AF51" s="277"/>
      <c r="AG51" s="308"/>
      <c r="AH51" s="242"/>
      <c r="AI51" s="279"/>
      <c r="AJ51" s="81"/>
      <c r="AK51" s="227"/>
      <c r="AL51" s="91"/>
      <c r="AM51" s="430"/>
      <c r="AN51" s="114" t="s">
        <v>17</v>
      </c>
      <c r="AO51" s="242"/>
      <c r="AP51" s="279"/>
      <c r="AQ51" s="293"/>
      <c r="AR51" s="242"/>
      <c r="AS51" s="279"/>
      <c r="AT51" s="293"/>
      <c r="AU51" s="242"/>
      <c r="AV51" s="279"/>
      <c r="AW51" s="298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</row>
    <row r="52" spans="1:133" ht="14.25" customHeight="1">
      <c r="A52" s="105"/>
      <c r="B52" s="120"/>
      <c r="C52" s="71"/>
      <c r="D52" s="71"/>
      <c r="E52" s="71"/>
      <c r="F52" s="120"/>
      <c r="G52" s="71"/>
      <c r="H52" s="347"/>
      <c r="J52" s="105"/>
      <c r="K52" s="365"/>
      <c r="L52" s="294"/>
      <c r="M52" s="294"/>
      <c r="N52" s="71"/>
      <c r="O52" s="246"/>
      <c r="P52" s="71"/>
      <c r="Q52" s="102"/>
      <c r="R52" s="59"/>
      <c r="S52" s="206" t="s">
        <v>62</v>
      </c>
      <c r="T52" s="316"/>
      <c r="U52" s="1024"/>
      <c r="V52" s="1025"/>
      <c r="W52" s="325"/>
      <c r="X52" s="280"/>
      <c r="Y52" s="294"/>
      <c r="Z52" s="244"/>
      <c r="AA52" s="280"/>
      <c r="AB52" s="409"/>
      <c r="AC52" s="429"/>
      <c r="AD52" s="100" t="s">
        <v>84</v>
      </c>
      <c r="AE52" s="244"/>
      <c r="AF52" s="280"/>
      <c r="AG52" s="294"/>
      <c r="AH52" s="244"/>
      <c r="AI52" s="280"/>
      <c r="AJ52" s="71"/>
      <c r="AK52" s="246"/>
      <c r="AL52" s="102"/>
      <c r="AM52" s="417"/>
      <c r="AN52" s="105" t="s">
        <v>84</v>
      </c>
      <c r="AO52" s="244"/>
      <c r="AP52" s="280"/>
      <c r="AQ52" s="294"/>
      <c r="AR52" s="244"/>
      <c r="AS52" s="280"/>
      <c r="AT52" s="294"/>
      <c r="AU52" s="244"/>
      <c r="AV52" s="280"/>
      <c r="AW52" s="295"/>
    </row>
    <row r="53" spans="1:133" s="88" customFormat="1" ht="14.25" customHeight="1">
      <c r="A53" s="117"/>
      <c r="B53" s="119"/>
      <c r="C53" s="81"/>
      <c r="D53" s="81"/>
      <c r="E53" s="81"/>
      <c r="F53" s="119"/>
      <c r="G53" s="81"/>
      <c r="H53" s="346"/>
      <c r="J53" s="117"/>
      <c r="K53" s="119"/>
      <c r="L53" s="293"/>
      <c r="M53" s="293"/>
      <c r="N53" s="81"/>
      <c r="O53" s="227"/>
      <c r="P53" s="81"/>
      <c r="Q53" s="91"/>
      <c r="R53" s="133"/>
      <c r="S53" s="256" t="s">
        <v>52</v>
      </c>
      <c r="T53" s="317"/>
      <c r="U53" s="1024"/>
      <c r="V53" s="1025"/>
      <c r="W53" s="442"/>
      <c r="X53" s="168"/>
      <c r="Y53" s="303"/>
      <c r="Z53" s="244"/>
      <c r="AA53" s="279"/>
      <c r="AB53" s="410"/>
      <c r="AC53" s="430"/>
      <c r="AD53" s="112" t="s">
        <v>54</v>
      </c>
      <c r="AE53" s="242"/>
      <c r="AF53" s="279"/>
      <c r="AG53" s="293"/>
      <c r="AH53" s="242"/>
      <c r="AI53" s="279"/>
      <c r="AJ53" s="81"/>
      <c r="AK53" s="227"/>
      <c r="AL53" s="91"/>
      <c r="AM53" s="430"/>
      <c r="AN53" s="114" t="s">
        <v>54</v>
      </c>
      <c r="AO53" s="242"/>
      <c r="AP53" s="279"/>
      <c r="AQ53" s="293"/>
      <c r="AR53" s="242">
        <v>400</v>
      </c>
      <c r="AS53" s="363" t="str">
        <f>IF(INT(AR53/100)&gt;=1,INT(AR53/100)&amp;" thùng + "&amp;MOD(AR53,100)&amp;" cái ",VALUE(AR53/100)&amp;"cái")</f>
        <v xml:space="preserve">4 thùng + 0 cái </v>
      </c>
      <c r="AT53" s="293"/>
      <c r="AU53" s="242"/>
      <c r="AV53" s="279"/>
      <c r="AW53" s="298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</row>
    <row r="54" spans="1:133" ht="14.25" customHeight="1" thickBot="1">
      <c r="A54" s="229"/>
      <c r="B54" s="230"/>
      <c r="C54" s="231"/>
      <c r="D54" s="231"/>
      <c r="E54" s="231"/>
      <c r="F54" s="230"/>
      <c r="G54" s="231"/>
      <c r="H54" s="354"/>
      <c r="J54" s="229"/>
      <c r="K54" s="230"/>
      <c r="L54" s="299"/>
      <c r="M54" s="299"/>
      <c r="N54" s="231"/>
      <c r="O54" s="247"/>
      <c r="P54" s="231"/>
      <c r="Q54" s="232"/>
      <c r="R54" s="59"/>
      <c r="S54" s="256" t="s">
        <v>60</v>
      </c>
      <c r="T54" s="378"/>
      <c r="U54" s="1026"/>
      <c r="V54" s="1027"/>
      <c r="W54" s="443"/>
      <c r="X54" s="289"/>
      <c r="Y54" s="299"/>
      <c r="Z54" s="252"/>
      <c r="AA54" s="380"/>
      <c r="AB54" s="396"/>
      <c r="AC54" s="416"/>
      <c r="AD54" s="414" t="s">
        <v>101</v>
      </c>
      <c r="AE54" s="252"/>
      <c r="AF54" s="289"/>
      <c r="AG54" s="299"/>
      <c r="AH54" s="252"/>
      <c r="AI54" s="289"/>
      <c r="AJ54" s="231"/>
      <c r="AK54" s="247"/>
      <c r="AL54" s="232"/>
      <c r="AM54" s="417"/>
      <c r="AN54" s="241" t="s">
        <v>101</v>
      </c>
      <c r="AO54" s="252">
        <v>400</v>
      </c>
      <c r="AP54" s="389" t="str">
        <f>IF(INT(AO54/3000)&gt;=1,INT(AO54/3000)&amp;" thùng + "&amp;MOD(AO54,3000)/100&amp;" túi ",VALUE(AO54/100)&amp;"túi")</f>
        <v>4túi</v>
      </c>
      <c r="AQ54" s="379"/>
      <c r="AR54" s="252"/>
      <c r="AS54" s="289"/>
      <c r="AT54" s="299"/>
      <c r="AU54" s="252"/>
      <c r="AV54" s="299"/>
      <c r="AW54" s="390"/>
    </row>
    <row r="55" spans="1:133">
      <c r="J55" s="59"/>
      <c r="K55" s="238"/>
      <c r="L55" s="300"/>
      <c r="M55" s="300"/>
      <c r="N55" s="59"/>
      <c r="O55" s="64"/>
      <c r="P55" s="59"/>
      <c r="Q55" s="59"/>
      <c r="R55" s="59"/>
      <c r="S55" s="59"/>
      <c r="AF55" s="309"/>
      <c r="AG55" s="309"/>
    </row>
    <row r="56" spans="1:133">
      <c r="J56" s="59"/>
      <c r="K56" s="238"/>
      <c r="L56" s="300"/>
      <c r="M56" s="300"/>
      <c r="N56" s="59"/>
      <c r="O56" s="64"/>
      <c r="P56" s="59"/>
      <c r="Q56" s="59"/>
      <c r="R56" s="59"/>
      <c r="S56" s="59"/>
    </row>
    <row r="57" spans="1:133">
      <c r="J57" s="59"/>
      <c r="K57" s="238"/>
      <c r="L57" s="300"/>
      <c r="M57" s="300"/>
      <c r="N57" s="59"/>
      <c r="O57" s="64"/>
      <c r="P57" s="59"/>
      <c r="Q57" s="59"/>
      <c r="R57" s="59"/>
      <c r="S57" s="59"/>
    </row>
    <row r="58" spans="1:133">
      <c r="J58" s="59"/>
      <c r="K58" s="238"/>
      <c r="L58" s="300"/>
      <c r="M58" s="300"/>
      <c r="N58" s="59"/>
      <c r="O58" s="64"/>
      <c r="P58" s="59"/>
      <c r="Q58" s="59"/>
      <c r="R58" s="59"/>
      <c r="S58" s="59"/>
    </row>
    <row r="59" spans="1:133">
      <c r="J59" s="59"/>
      <c r="K59" s="238"/>
      <c r="L59" s="300"/>
      <c r="M59" s="300"/>
      <c r="N59" s="59"/>
      <c r="O59" s="59"/>
      <c r="P59" s="59"/>
      <c r="Q59" s="59"/>
      <c r="R59" s="59"/>
      <c r="S59" s="59"/>
    </row>
    <row r="60" spans="1:133">
      <c r="J60" s="59"/>
      <c r="K60" s="238"/>
      <c r="L60" s="300"/>
      <c r="M60" s="300"/>
      <c r="N60" s="59"/>
      <c r="O60" s="59"/>
      <c r="P60" s="59"/>
      <c r="Q60" s="59"/>
      <c r="R60" s="59"/>
      <c r="S60" s="59"/>
    </row>
    <row r="61" spans="1:133">
      <c r="J61" s="59"/>
      <c r="K61" s="238"/>
      <c r="L61" s="300"/>
      <c r="M61" s="300"/>
      <c r="N61" s="59"/>
      <c r="O61" s="59"/>
      <c r="P61" s="59"/>
      <c r="Q61" s="59"/>
      <c r="R61" s="59"/>
      <c r="S61" s="59"/>
    </row>
    <row r="62" spans="1:133">
      <c r="J62" s="59"/>
      <c r="K62" s="238"/>
      <c r="L62" s="300"/>
      <c r="M62" s="300"/>
      <c r="N62" s="59"/>
      <c r="O62" s="59"/>
      <c r="P62" s="59"/>
      <c r="Q62" s="59"/>
      <c r="R62" s="59"/>
      <c r="S62" s="59"/>
    </row>
    <row r="63" spans="1:133">
      <c r="J63" s="59"/>
      <c r="K63" s="238"/>
      <c r="L63" s="300"/>
      <c r="M63" s="300"/>
      <c r="N63" s="59"/>
      <c r="O63" s="59"/>
      <c r="P63" s="59"/>
      <c r="Q63" s="59"/>
      <c r="R63" s="59"/>
      <c r="S63" s="59"/>
    </row>
    <row r="64" spans="1:133">
      <c r="J64" s="59"/>
      <c r="K64" s="238"/>
      <c r="L64" s="59"/>
      <c r="M64" s="59"/>
      <c r="N64" s="59"/>
      <c r="O64" s="59"/>
      <c r="P64" s="59"/>
      <c r="Q64" s="59"/>
      <c r="R64" s="59"/>
      <c r="S64" s="59"/>
    </row>
    <row r="65" spans="10:19">
      <c r="J65" s="59"/>
      <c r="K65" s="238"/>
      <c r="L65" s="59"/>
      <c r="M65" s="59"/>
      <c r="N65" s="59"/>
      <c r="O65" s="59"/>
      <c r="P65" s="59"/>
      <c r="Q65" s="59"/>
      <c r="R65" s="59"/>
      <c r="S65" s="59"/>
    </row>
    <row r="66" spans="10:19">
      <c r="J66" s="59"/>
      <c r="K66" s="238"/>
      <c r="L66" s="59"/>
      <c r="M66" s="59"/>
      <c r="N66" s="59"/>
      <c r="O66" s="59"/>
      <c r="P66" s="59"/>
      <c r="Q66" s="59"/>
      <c r="R66" s="59"/>
      <c r="S66" s="59"/>
    </row>
    <row r="67" spans="10:19">
      <c r="J67" s="59"/>
      <c r="K67" s="238"/>
      <c r="L67" s="59"/>
      <c r="M67" s="59"/>
      <c r="N67" s="59"/>
      <c r="O67" s="59"/>
      <c r="P67" s="59"/>
      <c r="Q67" s="59"/>
      <c r="R67" s="59"/>
      <c r="S67" s="59"/>
    </row>
    <row r="68" spans="10:19">
      <c r="J68" s="59"/>
      <c r="K68" s="238"/>
      <c r="L68" s="59"/>
      <c r="M68" s="59"/>
      <c r="N68" s="59"/>
      <c r="O68" s="59"/>
      <c r="P68" s="59"/>
      <c r="Q68" s="59"/>
      <c r="R68" s="59"/>
      <c r="S68" s="59"/>
    </row>
    <row r="69" spans="10:19">
      <c r="J69" s="59"/>
      <c r="K69" s="238"/>
      <c r="L69" s="59"/>
      <c r="M69" s="59"/>
      <c r="N69" s="59"/>
      <c r="O69" s="59"/>
      <c r="P69" s="59"/>
      <c r="Q69" s="59"/>
      <c r="R69" s="59"/>
      <c r="S69" s="59"/>
    </row>
    <row r="70" spans="10:19">
      <c r="J70" s="59"/>
      <c r="K70" s="238"/>
      <c r="L70" s="59"/>
      <c r="M70" s="59"/>
      <c r="N70" s="59"/>
      <c r="O70" s="59"/>
      <c r="P70" s="59"/>
      <c r="Q70" s="59"/>
      <c r="R70" s="59"/>
      <c r="S70" s="59"/>
    </row>
    <row r="71" spans="10:19">
      <c r="J71" s="59"/>
      <c r="K71" s="238"/>
      <c r="L71" s="59"/>
      <c r="M71" s="59"/>
      <c r="N71" s="59"/>
      <c r="O71" s="59"/>
      <c r="P71" s="59"/>
      <c r="Q71" s="59"/>
      <c r="R71" s="59"/>
      <c r="S71" s="59"/>
    </row>
    <row r="72" spans="10:19">
      <c r="J72" s="59"/>
      <c r="K72" s="238"/>
      <c r="L72" s="59"/>
      <c r="M72" s="59"/>
      <c r="N72" s="59"/>
      <c r="O72" s="59"/>
      <c r="P72" s="59"/>
      <c r="Q72" s="59"/>
      <c r="R72" s="59"/>
      <c r="S72" s="59"/>
    </row>
    <row r="73" spans="10:19">
      <c r="J73" s="59"/>
      <c r="K73" s="238"/>
      <c r="L73" s="59"/>
      <c r="M73" s="59"/>
      <c r="N73" s="59"/>
      <c r="O73" s="59"/>
      <c r="P73" s="59"/>
      <c r="Q73" s="59"/>
      <c r="R73" s="59"/>
      <c r="S73" s="59"/>
    </row>
    <row r="74" spans="10:19">
      <c r="J74" s="59"/>
      <c r="K74" s="238"/>
      <c r="L74" s="59"/>
      <c r="M74" s="59"/>
      <c r="N74" s="59"/>
      <c r="O74" s="59"/>
      <c r="P74" s="59"/>
      <c r="Q74" s="59"/>
      <c r="R74" s="59"/>
      <c r="S74" s="59"/>
    </row>
    <row r="75" spans="10:19">
      <c r="J75" s="59"/>
      <c r="K75" s="238"/>
      <c r="L75" s="59"/>
      <c r="M75" s="59"/>
      <c r="N75" s="59"/>
      <c r="O75" s="59"/>
      <c r="P75" s="59"/>
      <c r="Q75" s="59"/>
      <c r="R75" s="59"/>
      <c r="S75" s="59"/>
    </row>
    <row r="76" spans="10:19">
      <c r="J76" s="59"/>
      <c r="K76" s="238"/>
      <c r="L76" s="59"/>
      <c r="M76" s="59"/>
      <c r="N76" s="59"/>
      <c r="O76" s="59"/>
      <c r="P76" s="59"/>
      <c r="Q76" s="59"/>
      <c r="R76" s="59"/>
      <c r="S76" s="59"/>
    </row>
    <row r="77" spans="10:19">
      <c r="J77" s="59"/>
      <c r="K77" s="238"/>
      <c r="L77" s="59"/>
      <c r="M77" s="59"/>
      <c r="N77" s="59"/>
      <c r="O77" s="59"/>
      <c r="P77" s="59"/>
      <c r="Q77" s="59"/>
      <c r="R77" s="59"/>
      <c r="S77" s="59"/>
    </row>
    <row r="78" spans="10:19">
      <c r="J78" s="59"/>
      <c r="K78" s="238"/>
      <c r="L78" s="59"/>
      <c r="M78" s="59"/>
      <c r="N78" s="59"/>
      <c r="O78" s="59"/>
      <c r="P78" s="59"/>
      <c r="Q78" s="59"/>
      <c r="R78" s="59"/>
      <c r="S78" s="59"/>
    </row>
    <row r="79" spans="10:19">
      <c r="J79" s="59"/>
      <c r="K79" s="238"/>
      <c r="L79" s="59"/>
      <c r="M79" s="59"/>
      <c r="N79" s="59"/>
      <c r="O79" s="59"/>
      <c r="P79" s="59"/>
      <c r="Q79" s="59"/>
      <c r="R79" s="59"/>
      <c r="S79" s="59"/>
    </row>
    <row r="80" spans="10:19">
      <c r="J80" s="59"/>
      <c r="K80" s="238"/>
      <c r="L80" s="59"/>
      <c r="M80" s="59"/>
      <c r="N80" s="59"/>
      <c r="O80" s="59"/>
      <c r="P80" s="59"/>
      <c r="Q80" s="59"/>
      <c r="R80" s="59"/>
      <c r="S80" s="59"/>
    </row>
    <row r="81" spans="10:19">
      <c r="J81" s="59"/>
      <c r="K81" s="238"/>
      <c r="L81" s="59"/>
      <c r="M81" s="59"/>
      <c r="N81" s="59"/>
      <c r="O81" s="59"/>
      <c r="P81" s="59"/>
      <c r="Q81" s="59"/>
      <c r="R81" s="59"/>
      <c r="S81" s="59"/>
    </row>
    <row r="82" spans="10:19">
      <c r="J82" s="59"/>
      <c r="K82" s="238"/>
      <c r="L82" s="59"/>
      <c r="M82" s="59"/>
      <c r="N82" s="59"/>
      <c r="O82" s="59"/>
      <c r="P82" s="59"/>
      <c r="Q82" s="59"/>
      <c r="R82" s="59"/>
      <c r="S82" s="59"/>
    </row>
    <row r="83" spans="10:19">
      <c r="J83" s="59"/>
      <c r="K83" s="238"/>
      <c r="L83" s="59"/>
      <c r="M83" s="59"/>
      <c r="N83" s="59"/>
      <c r="O83" s="59"/>
      <c r="P83" s="59"/>
      <c r="Q83" s="59"/>
      <c r="R83" s="59"/>
      <c r="S83" s="59"/>
    </row>
    <row r="84" spans="10:19">
      <c r="J84" s="59"/>
      <c r="K84" s="238"/>
      <c r="L84" s="59"/>
      <c r="M84" s="59"/>
      <c r="N84" s="59"/>
      <c r="O84" s="59"/>
      <c r="P84" s="59"/>
      <c r="Q84" s="59"/>
      <c r="R84" s="59"/>
      <c r="S84" s="59"/>
    </row>
    <row r="85" spans="10:19">
      <c r="J85" s="59"/>
      <c r="K85" s="238"/>
      <c r="L85" s="59"/>
      <c r="M85" s="59"/>
      <c r="N85" s="59"/>
      <c r="O85" s="59"/>
      <c r="P85" s="59"/>
      <c r="Q85" s="59"/>
      <c r="R85" s="59"/>
      <c r="S85" s="59"/>
    </row>
    <row r="86" spans="10:19">
      <c r="J86" s="59"/>
      <c r="K86" s="238"/>
      <c r="L86" s="59"/>
      <c r="M86" s="59"/>
      <c r="N86" s="59"/>
      <c r="O86" s="59"/>
      <c r="P86" s="59"/>
      <c r="Q86" s="59"/>
      <c r="R86" s="59"/>
      <c r="S86" s="59"/>
    </row>
    <row r="87" spans="10:19">
      <c r="J87" s="59"/>
      <c r="K87" s="238"/>
      <c r="L87" s="59"/>
      <c r="M87" s="59"/>
      <c r="N87" s="59"/>
      <c r="O87" s="59"/>
      <c r="P87" s="59"/>
      <c r="Q87" s="59"/>
      <c r="R87" s="59"/>
      <c r="S87" s="59"/>
    </row>
    <row r="88" spans="10:19">
      <c r="J88" s="59"/>
      <c r="K88" s="238"/>
      <c r="L88" s="59"/>
      <c r="M88" s="59"/>
      <c r="N88" s="59"/>
      <c r="O88" s="59"/>
      <c r="P88" s="59"/>
      <c r="Q88" s="59"/>
      <c r="R88" s="59"/>
      <c r="S88" s="59"/>
    </row>
    <row r="89" spans="10:19">
      <c r="J89" s="59"/>
      <c r="K89" s="238"/>
      <c r="L89" s="59"/>
      <c r="M89" s="59"/>
      <c r="N89" s="59"/>
      <c r="O89" s="59"/>
      <c r="P89" s="59"/>
      <c r="Q89" s="59"/>
      <c r="R89" s="59"/>
      <c r="S89" s="59"/>
    </row>
    <row r="90" spans="10:19">
      <c r="J90" s="59"/>
      <c r="K90" s="238"/>
      <c r="L90" s="59"/>
      <c r="M90" s="59"/>
      <c r="N90" s="59"/>
      <c r="O90" s="59"/>
      <c r="P90" s="59"/>
      <c r="Q90" s="59"/>
      <c r="R90" s="59"/>
      <c r="S90" s="59"/>
    </row>
    <row r="91" spans="10:19">
      <c r="J91" s="59"/>
      <c r="K91" s="238"/>
      <c r="L91" s="59"/>
      <c r="M91" s="59"/>
      <c r="N91" s="59"/>
      <c r="O91" s="59"/>
      <c r="P91" s="59"/>
      <c r="Q91" s="59"/>
      <c r="R91" s="59"/>
      <c r="S91" s="59"/>
    </row>
    <row r="92" spans="10:19">
      <c r="J92" s="59"/>
      <c r="K92" s="238"/>
      <c r="L92" s="59"/>
      <c r="M92" s="59"/>
      <c r="N92" s="59"/>
      <c r="O92" s="59"/>
      <c r="P92" s="59"/>
      <c r="Q92" s="59"/>
      <c r="R92" s="59"/>
      <c r="S92" s="59"/>
    </row>
    <row r="93" spans="10:19">
      <c r="J93" s="59"/>
      <c r="K93" s="238"/>
      <c r="L93" s="59"/>
      <c r="M93" s="59"/>
      <c r="N93" s="59"/>
      <c r="O93" s="59"/>
      <c r="P93" s="59"/>
      <c r="Q93" s="59"/>
      <c r="R93" s="59"/>
      <c r="S93" s="59"/>
    </row>
    <row r="94" spans="10:19">
      <c r="J94" s="59"/>
      <c r="K94" s="238"/>
      <c r="L94" s="59"/>
      <c r="M94" s="59"/>
      <c r="N94" s="59"/>
      <c r="O94" s="59"/>
      <c r="P94" s="59"/>
      <c r="Q94" s="59"/>
      <c r="R94" s="59"/>
      <c r="S94" s="59"/>
    </row>
    <row r="95" spans="10:19">
      <c r="J95" s="59"/>
      <c r="K95" s="238"/>
      <c r="L95" s="59"/>
      <c r="M95" s="59"/>
      <c r="N95" s="59"/>
      <c r="O95" s="59"/>
      <c r="P95" s="59"/>
      <c r="Q95" s="59"/>
      <c r="R95" s="59"/>
      <c r="S95" s="59"/>
    </row>
    <row r="96" spans="10:19">
      <c r="J96" s="59"/>
      <c r="K96" s="238"/>
      <c r="L96" s="59"/>
      <c r="M96" s="59"/>
      <c r="N96" s="59"/>
      <c r="O96" s="59"/>
      <c r="P96" s="59"/>
      <c r="Q96" s="59"/>
      <c r="R96" s="59"/>
      <c r="S96" s="59"/>
    </row>
    <row r="97" spans="10:19">
      <c r="J97" s="59"/>
      <c r="K97" s="238"/>
      <c r="L97" s="59"/>
      <c r="M97" s="59"/>
      <c r="N97" s="59"/>
      <c r="O97" s="59"/>
      <c r="P97" s="59"/>
      <c r="Q97" s="59"/>
      <c r="R97" s="59"/>
      <c r="S97" s="59"/>
    </row>
    <row r="98" spans="10:19">
      <c r="J98" s="59"/>
      <c r="K98" s="238"/>
      <c r="L98" s="59"/>
      <c r="M98" s="59"/>
      <c r="N98" s="59"/>
      <c r="O98" s="59"/>
      <c r="P98" s="59"/>
      <c r="Q98" s="59"/>
      <c r="R98" s="59"/>
      <c r="S98" s="59"/>
    </row>
    <row r="99" spans="10:19">
      <c r="J99" s="59"/>
      <c r="K99" s="238"/>
      <c r="L99" s="59"/>
      <c r="M99" s="59"/>
      <c r="N99" s="59"/>
      <c r="O99" s="59"/>
      <c r="P99" s="59"/>
      <c r="Q99" s="59"/>
      <c r="R99" s="59"/>
      <c r="S99" s="59"/>
    </row>
    <row r="100" spans="10:19">
      <c r="J100" s="59"/>
      <c r="K100" s="238"/>
      <c r="L100" s="59"/>
      <c r="M100" s="59"/>
      <c r="N100" s="59"/>
      <c r="O100" s="59"/>
      <c r="P100" s="59"/>
      <c r="Q100" s="59"/>
      <c r="R100" s="59"/>
      <c r="S100" s="59"/>
    </row>
    <row r="101" spans="10:19">
      <c r="J101" s="59"/>
      <c r="K101" s="238"/>
      <c r="L101" s="59"/>
      <c r="M101" s="59"/>
      <c r="N101" s="59"/>
      <c r="O101" s="59"/>
      <c r="P101" s="59"/>
      <c r="Q101" s="59"/>
      <c r="R101" s="59"/>
      <c r="S101" s="59"/>
    </row>
    <row r="102" spans="10:19">
      <c r="J102" s="59"/>
      <c r="K102" s="238"/>
      <c r="L102" s="59"/>
      <c r="M102" s="59"/>
      <c r="N102" s="59"/>
      <c r="O102" s="59"/>
      <c r="P102" s="59"/>
      <c r="Q102" s="59"/>
      <c r="R102" s="59"/>
      <c r="S102" s="59"/>
    </row>
    <row r="103" spans="10:19">
      <c r="J103" s="59"/>
      <c r="K103" s="238"/>
      <c r="L103" s="59"/>
      <c r="M103" s="59"/>
      <c r="N103" s="59"/>
      <c r="O103" s="59"/>
      <c r="P103" s="59"/>
      <c r="Q103" s="59"/>
      <c r="R103" s="59"/>
      <c r="S103" s="59"/>
    </row>
    <row r="104" spans="10:19">
      <c r="J104" s="59"/>
      <c r="K104" s="238"/>
      <c r="L104" s="59"/>
      <c r="M104" s="59"/>
      <c r="N104" s="59"/>
      <c r="O104" s="59"/>
      <c r="P104" s="59"/>
      <c r="Q104" s="59"/>
      <c r="R104" s="59"/>
      <c r="S104" s="59"/>
    </row>
    <row r="105" spans="10:19">
      <c r="J105" s="59"/>
      <c r="K105" s="238"/>
      <c r="L105" s="59"/>
      <c r="M105" s="59"/>
      <c r="N105" s="59"/>
      <c r="O105" s="59"/>
      <c r="P105" s="59"/>
      <c r="Q105" s="59"/>
      <c r="R105" s="59"/>
      <c r="S105" s="59"/>
    </row>
    <row r="106" spans="10:19">
      <c r="J106" s="59"/>
      <c r="K106" s="238"/>
      <c r="L106" s="59"/>
      <c r="M106" s="59"/>
      <c r="N106" s="59"/>
      <c r="O106" s="59"/>
      <c r="P106" s="59"/>
      <c r="Q106" s="59"/>
      <c r="R106" s="59"/>
      <c r="S106" s="59"/>
    </row>
    <row r="107" spans="10:19">
      <c r="J107" s="59"/>
      <c r="K107" s="238"/>
      <c r="L107" s="59"/>
      <c r="M107" s="59"/>
      <c r="N107" s="59"/>
      <c r="O107" s="59"/>
      <c r="P107" s="59"/>
      <c r="Q107" s="59"/>
      <c r="R107" s="59"/>
      <c r="S107" s="59"/>
    </row>
    <row r="108" spans="10:19">
      <c r="J108" s="59"/>
      <c r="K108" s="238"/>
      <c r="L108" s="59"/>
      <c r="M108" s="59"/>
      <c r="N108" s="59"/>
      <c r="O108" s="59"/>
      <c r="P108" s="59"/>
      <c r="Q108" s="59"/>
      <c r="R108" s="59"/>
      <c r="S108" s="59"/>
    </row>
    <row r="109" spans="10:19">
      <c r="J109" s="59"/>
      <c r="K109" s="238"/>
      <c r="L109" s="59"/>
      <c r="M109" s="59"/>
      <c r="N109" s="59"/>
      <c r="O109" s="59"/>
      <c r="P109" s="59"/>
      <c r="Q109" s="59"/>
      <c r="R109" s="59"/>
      <c r="S109" s="59"/>
    </row>
    <row r="110" spans="10:19">
      <c r="J110" s="59"/>
      <c r="K110" s="238"/>
      <c r="L110" s="59"/>
      <c r="M110" s="59"/>
      <c r="N110" s="59"/>
      <c r="O110" s="59"/>
      <c r="P110" s="59"/>
      <c r="Q110" s="59"/>
      <c r="R110" s="59"/>
      <c r="S110" s="59"/>
    </row>
    <row r="111" spans="10:19">
      <c r="J111" s="59"/>
      <c r="K111" s="238"/>
      <c r="L111" s="59"/>
      <c r="M111" s="59"/>
      <c r="N111" s="59"/>
      <c r="O111" s="59"/>
      <c r="P111" s="59"/>
      <c r="Q111" s="59"/>
      <c r="R111" s="59"/>
      <c r="S111" s="59"/>
    </row>
    <row r="112" spans="10:19">
      <c r="J112" s="59"/>
      <c r="K112" s="238"/>
      <c r="L112" s="59"/>
      <c r="M112" s="59"/>
      <c r="N112" s="59"/>
      <c r="O112" s="59"/>
      <c r="P112" s="59"/>
      <c r="Q112" s="59"/>
      <c r="R112" s="59"/>
      <c r="S112" s="59"/>
    </row>
    <row r="113" spans="10:19">
      <c r="J113" s="59"/>
      <c r="K113" s="238"/>
      <c r="L113" s="59"/>
      <c r="M113" s="59"/>
      <c r="N113" s="59"/>
      <c r="O113" s="59"/>
      <c r="P113" s="59"/>
      <c r="Q113" s="59"/>
      <c r="R113" s="59"/>
      <c r="S113" s="59"/>
    </row>
    <row r="114" spans="10:19">
      <c r="J114" s="59"/>
      <c r="K114" s="238"/>
      <c r="L114" s="59"/>
      <c r="M114" s="59"/>
      <c r="N114" s="59"/>
      <c r="O114" s="59"/>
      <c r="P114" s="59"/>
      <c r="Q114" s="59"/>
      <c r="R114" s="59"/>
      <c r="S114" s="59"/>
    </row>
    <row r="115" spans="10:19">
      <c r="J115" s="59"/>
      <c r="K115" s="238"/>
      <c r="L115" s="59"/>
      <c r="M115" s="59"/>
      <c r="N115" s="59"/>
      <c r="O115" s="59"/>
      <c r="P115" s="59"/>
      <c r="Q115" s="59"/>
      <c r="R115" s="59"/>
      <c r="S115" s="59"/>
    </row>
    <row r="116" spans="10:19">
      <c r="J116" s="59"/>
      <c r="K116" s="238"/>
      <c r="L116" s="59"/>
      <c r="M116" s="59"/>
      <c r="N116" s="59"/>
      <c r="O116" s="59"/>
      <c r="P116" s="59"/>
      <c r="Q116" s="59"/>
      <c r="R116" s="59"/>
      <c r="S116" s="59"/>
    </row>
    <row r="117" spans="10:19">
      <c r="J117" s="59"/>
      <c r="K117" s="238"/>
      <c r="L117" s="59"/>
      <c r="M117" s="59"/>
      <c r="N117" s="59"/>
      <c r="O117" s="59"/>
      <c r="P117" s="59"/>
      <c r="Q117" s="59"/>
      <c r="R117" s="59"/>
      <c r="S117" s="59"/>
    </row>
    <row r="118" spans="10:19">
      <c r="J118" s="59"/>
      <c r="K118" s="238"/>
      <c r="L118" s="59"/>
      <c r="M118" s="59"/>
      <c r="N118" s="59"/>
      <c r="O118" s="59"/>
      <c r="P118" s="59"/>
      <c r="Q118" s="59"/>
      <c r="R118" s="59"/>
      <c r="S118" s="59"/>
    </row>
    <row r="119" spans="10:19">
      <c r="J119" s="59"/>
      <c r="K119" s="238"/>
      <c r="L119" s="59"/>
      <c r="M119" s="59"/>
      <c r="N119" s="59"/>
      <c r="O119" s="59"/>
      <c r="P119" s="59"/>
      <c r="Q119" s="59"/>
      <c r="R119" s="59"/>
      <c r="S119" s="59"/>
    </row>
    <row r="120" spans="10:19">
      <c r="J120" s="59"/>
      <c r="K120" s="238"/>
      <c r="L120" s="59"/>
      <c r="M120" s="59"/>
      <c r="N120" s="59"/>
      <c r="O120" s="59"/>
      <c r="P120" s="59"/>
      <c r="Q120" s="59"/>
      <c r="R120" s="59"/>
      <c r="S120" s="59"/>
    </row>
    <row r="121" spans="10:19">
      <c r="J121" s="59"/>
      <c r="K121" s="238"/>
      <c r="L121" s="59"/>
      <c r="M121" s="59"/>
      <c r="N121" s="59"/>
      <c r="O121" s="59"/>
      <c r="P121" s="59"/>
      <c r="Q121" s="59"/>
      <c r="R121" s="59"/>
      <c r="S121" s="59"/>
    </row>
    <row r="122" spans="10:19">
      <c r="J122" s="59"/>
      <c r="K122" s="238"/>
      <c r="L122" s="59"/>
      <c r="M122" s="59"/>
      <c r="N122" s="59"/>
      <c r="O122" s="59"/>
      <c r="P122" s="59"/>
      <c r="Q122" s="59"/>
      <c r="R122" s="59"/>
      <c r="S122" s="59"/>
    </row>
    <row r="123" spans="10:19">
      <c r="J123" s="59"/>
      <c r="K123" s="238"/>
      <c r="L123" s="59"/>
      <c r="M123" s="59"/>
      <c r="N123" s="59"/>
      <c r="O123" s="59"/>
      <c r="P123" s="59"/>
      <c r="Q123" s="59"/>
      <c r="R123" s="59"/>
      <c r="S123" s="59"/>
    </row>
    <row r="124" spans="10:19">
      <c r="J124" s="59"/>
      <c r="K124" s="238"/>
      <c r="L124" s="59"/>
      <c r="M124" s="59"/>
      <c r="N124" s="59"/>
      <c r="O124" s="59"/>
      <c r="P124" s="59"/>
      <c r="Q124" s="59"/>
      <c r="R124" s="59"/>
      <c r="S124" s="59"/>
    </row>
    <row r="125" spans="10:19">
      <c r="J125" s="59"/>
      <c r="K125" s="238"/>
      <c r="L125" s="59"/>
      <c r="M125" s="59"/>
      <c r="N125" s="59"/>
      <c r="O125" s="59"/>
      <c r="P125" s="59"/>
      <c r="Q125" s="59"/>
      <c r="R125" s="59"/>
      <c r="S125" s="59"/>
    </row>
    <row r="126" spans="10:19">
      <c r="J126" s="59"/>
      <c r="K126" s="238"/>
      <c r="L126" s="59"/>
      <c r="M126" s="59"/>
      <c r="N126" s="59"/>
      <c r="O126" s="59"/>
      <c r="P126" s="59"/>
      <c r="Q126" s="59"/>
      <c r="R126" s="59"/>
      <c r="S126" s="59"/>
    </row>
    <row r="127" spans="10:19">
      <c r="J127" s="59"/>
      <c r="K127" s="238"/>
      <c r="L127" s="59"/>
      <c r="M127" s="59"/>
      <c r="N127" s="59"/>
      <c r="O127" s="59"/>
      <c r="P127" s="59"/>
      <c r="Q127" s="59"/>
      <c r="R127" s="59"/>
      <c r="S127" s="59"/>
    </row>
    <row r="128" spans="10:19">
      <c r="J128" s="59"/>
      <c r="K128" s="238"/>
      <c r="L128" s="59"/>
      <c r="M128" s="59"/>
      <c r="N128" s="59"/>
      <c r="O128" s="59"/>
      <c r="P128" s="59"/>
      <c r="Q128" s="59"/>
      <c r="R128" s="59"/>
      <c r="S128" s="59"/>
    </row>
    <row r="129" spans="10:19">
      <c r="J129" s="59"/>
      <c r="K129" s="238"/>
      <c r="L129" s="59"/>
      <c r="M129" s="59"/>
      <c r="N129" s="59"/>
      <c r="O129" s="59"/>
      <c r="P129" s="59"/>
      <c r="Q129" s="59"/>
      <c r="R129" s="59"/>
      <c r="S129" s="59"/>
    </row>
    <row r="130" spans="10:19">
      <c r="J130" s="59"/>
      <c r="K130" s="238"/>
      <c r="L130" s="59"/>
      <c r="M130" s="59"/>
      <c r="N130" s="59"/>
      <c r="O130" s="59"/>
      <c r="P130" s="59"/>
      <c r="Q130" s="59"/>
      <c r="R130" s="59"/>
      <c r="S130" s="59"/>
    </row>
    <row r="131" spans="10:19">
      <c r="J131" s="59"/>
      <c r="K131" s="238"/>
      <c r="L131" s="59"/>
      <c r="M131" s="59"/>
      <c r="N131" s="59"/>
      <c r="O131" s="59"/>
      <c r="P131" s="59"/>
      <c r="Q131" s="59"/>
      <c r="R131" s="59"/>
      <c r="S131" s="59"/>
    </row>
    <row r="132" spans="10:19">
      <c r="J132" s="59"/>
      <c r="K132" s="238"/>
      <c r="L132" s="59"/>
      <c r="M132" s="59"/>
      <c r="N132" s="59"/>
      <c r="O132" s="59"/>
      <c r="P132" s="59"/>
      <c r="Q132" s="59"/>
      <c r="R132" s="59"/>
      <c r="S132" s="59"/>
    </row>
  </sheetData>
  <mergeCells count="43">
    <mergeCell ref="D2:H2"/>
    <mergeCell ref="M2:Q2"/>
    <mergeCell ref="W2:AB2"/>
    <mergeCell ref="AH2:AL2"/>
    <mergeCell ref="AR2:AW2"/>
    <mergeCell ref="A1:G1"/>
    <mergeCell ref="J1:P1"/>
    <mergeCell ref="S1:AA1"/>
    <mergeCell ref="AD1:AL1"/>
    <mergeCell ref="AO1:AW1"/>
    <mergeCell ref="AO4:AP4"/>
    <mergeCell ref="A5:C5"/>
    <mergeCell ref="J5:L5"/>
    <mergeCell ref="S5:U5"/>
    <mergeCell ref="AD5:AF5"/>
    <mergeCell ref="AN5:AP5"/>
    <mergeCell ref="N6:N7"/>
    <mergeCell ref="B4:C4"/>
    <mergeCell ref="K4:L4"/>
    <mergeCell ref="T4:U4"/>
    <mergeCell ref="AE4:AF4"/>
    <mergeCell ref="O6:Q6"/>
    <mergeCell ref="S6:S7"/>
    <mergeCell ref="T6:V6"/>
    <mergeCell ref="W6:X6"/>
    <mergeCell ref="Z6:AB6"/>
    <mergeCell ref="A6:A7"/>
    <mergeCell ref="B6:D6"/>
    <mergeCell ref="E6:E7"/>
    <mergeCell ref="F6:H6"/>
    <mergeCell ref="K6:M6"/>
    <mergeCell ref="AU6:AW6"/>
    <mergeCell ref="U51:V51"/>
    <mergeCell ref="U52:V52"/>
    <mergeCell ref="U53:V53"/>
    <mergeCell ref="U54:V54"/>
    <mergeCell ref="AE6:AG6"/>
    <mergeCell ref="AH6:AJ6"/>
    <mergeCell ref="AK6:AL6"/>
    <mergeCell ref="AN6:AN7"/>
    <mergeCell ref="AO6:AQ6"/>
    <mergeCell ref="AR6:AT6"/>
    <mergeCell ref="AD6:AD7"/>
  </mergeCells>
  <pageMargins left="0.35" right="0.19" top="0.27559055118110198" bottom="0.27559055118110198" header="0.2" footer="0.196850393700787"/>
  <pageSetup paperSize="9" orientation="portrait" verticalDpi="200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85"/>
  <sheetViews>
    <sheetView zoomScaleNormal="100" workbookViewId="0">
      <selection activeCell="K23" sqref="K23"/>
    </sheetView>
  </sheetViews>
  <sheetFormatPr defaultRowHeight="12.75"/>
  <cols>
    <col min="1" max="1" width="30" style="3" customWidth="1"/>
    <col min="2" max="2" width="12" style="145" customWidth="1"/>
    <col min="3" max="3" width="11.42578125" style="3" customWidth="1"/>
    <col min="4" max="4" width="9" style="3" customWidth="1"/>
    <col min="5" max="5" width="9.140625" style="44"/>
    <col min="6" max="6" width="14.28515625" style="3" customWidth="1"/>
    <col min="7" max="7" width="2.5703125" style="3" customWidth="1"/>
    <col min="8" max="8" width="28.42578125" style="151" customWidth="1"/>
    <col min="9" max="9" width="12.28515625" style="156" customWidth="1"/>
    <col min="10" max="10" width="10.140625" style="3" customWidth="1"/>
    <col min="11" max="11" width="23.7109375" style="3" customWidth="1"/>
    <col min="12" max="12" width="9.140625" style="3" customWidth="1"/>
    <col min="13" max="16384" width="9.140625" style="3"/>
  </cols>
  <sheetData>
    <row r="1" spans="1:12" ht="39.75" customHeight="1" thickBot="1">
      <c r="A1" s="978" t="s">
        <v>267</v>
      </c>
      <c r="B1" s="979"/>
      <c r="C1" s="979"/>
      <c r="D1" s="979"/>
      <c r="E1" s="979"/>
      <c r="F1" s="839"/>
      <c r="G1" s="838"/>
      <c r="H1" s="978" t="s">
        <v>268</v>
      </c>
      <c r="I1" s="979"/>
      <c r="J1" s="979"/>
      <c r="K1" s="979"/>
      <c r="L1" s="980"/>
    </row>
    <row r="2" spans="1:12" ht="26.25" customHeight="1">
      <c r="A2" s="4" t="s">
        <v>411</v>
      </c>
      <c r="B2" s="141"/>
      <c r="C2" s="5"/>
      <c r="D2" s="1033" t="s">
        <v>260</v>
      </c>
      <c r="E2" s="1033"/>
      <c r="F2" s="1034"/>
      <c r="G2" s="846"/>
      <c r="H2" s="440" t="str">
        <f>A2</f>
        <v>Ngày 31 tháng 7 năm 2018</v>
      </c>
      <c r="I2" s="1033" t="s">
        <v>234</v>
      </c>
      <c r="J2" s="1033"/>
      <c r="K2" s="1033"/>
      <c r="L2" s="6"/>
    </row>
    <row r="3" spans="1:12" ht="25.5" customHeight="1">
      <c r="A3" s="11" t="s">
        <v>34</v>
      </c>
      <c r="B3" s="335" t="s">
        <v>221</v>
      </c>
      <c r="C3" s="12"/>
      <c r="D3" s="318"/>
      <c r="E3" s="319"/>
      <c r="F3" s="10"/>
      <c r="G3" s="6"/>
      <c r="H3" s="438" t="s">
        <v>34</v>
      </c>
      <c r="I3" s="847">
        <v>4</v>
      </c>
      <c r="J3" s="847"/>
      <c r="K3" s="6"/>
      <c r="L3" s="6"/>
    </row>
    <row r="4" spans="1:12" ht="22.5" customHeight="1">
      <c r="A4" s="11" t="s">
        <v>35</v>
      </c>
      <c r="B4" s="143" t="s">
        <v>36</v>
      </c>
      <c r="C4" s="17"/>
      <c r="D4" s="15"/>
      <c r="E4" s="320"/>
      <c r="F4" s="17"/>
      <c r="G4" s="15"/>
      <c r="H4" s="438" t="s">
        <v>35</v>
      </c>
      <c r="I4" s="1035"/>
      <c r="J4" s="1035"/>
      <c r="K4" s="1035"/>
      <c r="L4" s="15"/>
    </row>
    <row r="5" spans="1:12" ht="18" customHeight="1" thickBot="1">
      <c r="A5" s="1012" t="s">
        <v>246</v>
      </c>
      <c r="B5" s="1013"/>
      <c r="C5" s="1014"/>
      <c r="D5" s="59"/>
      <c r="E5" s="320"/>
      <c r="F5" s="17"/>
      <c r="G5" s="15"/>
      <c r="H5" s="147"/>
      <c r="I5" s="847"/>
      <c r="J5" s="15"/>
      <c r="K5" s="15"/>
      <c r="L5" s="18"/>
    </row>
    <row r="6" spans="1:12" ht="19.5" customHeight="1">
      <c r="A6" s="1038" t="s">
        <v>0</v>
      </c>
      <c r="B6" s="986" t="s">
        <v>261</v>
      </c>
      <c r="C6" s="986"/>
      <c r="D6" s="988"/>
      <c r="E6" s="989"/>
      <c r="F6" s="990"/>
      <c r="G6" s="840"/>
      <c r="H6" s="439" t="s">
        <v>2</v>
      </c>
      <c r="I6" s="988" t="s">
        <v>33</v>
      </c>
      <c r="J6" s="989"/>
      <c r="K6" s="989"/>
      <c r="L6" s="990"/>
    </row>
    <row r="7" spans="1:12" ht="17.25" customHeight="1">
      <c r="A7" s="1040"/>
      <c r="B7" s="991" t="s">
        <v>259</v>
      </c>
      <c r="C7" s="972" t="s">
        <v>217</v>
      </c>
      <c r="D7" s="972" t="s">
        <v>230</v>
      </c>
      <c r="E7" s="970" t="s">
        <v>259</v>
      </c>
      <c r="F7" s="974" t="s">
        <v>217</v>
      </c>
      <c r="G7" s="431"/>
      <c r="H7" s="976" t="s">
        <v>0</v>
      </c>
      <c r="I7" s="153" t="s">
        <v>4</v>
      </c>
      <c r="J7" s="1036" t="s">
        <v>271</v>
      </c>
      <c r="K7" s="1038" t="s">
        <v>230</v>
      </c>
      <c r="L7" s="20"/>
    </row>
    <row r="8" spans="1:12" ht="18.75" customHeight="1" thickBot="1">
      <c r="A8" s="1041"/>
      <c r="B8" s="992"/>
      <c r="C8" s="973"/>
      <c r="D8" s="973"/>
      <c r="E8" s="971"/>
      <c r="F8" s="975"/>
      <c r="G8" s="432"/>
      <c r="H8" s="1042"/>
      <c r="I8" s="268" t="s">
        <v>3</v>
      </c>
      <c r="J8" s="1037"/>
      <c r="K8" s="1039"/>
      <c r="L8" s="269"/>
    </row>
    <row r="9" spans="1:12">
      <c r="A9" s="453" t="s">
        <v>38</v>
      </c>
      <c r="B9" s="454">
        <v>1700</v>
      </c>
      <c r="C9" s="276" t="str">
        <f>IF(INT(B9/4000)&gt;=1,INT(B9/4000)&amp;" thùng + "&amp;MOD(B9,4000)/100&amp;" túi ",VALUE(B9/100)&amp;"túi")</f>
        <v>17túi</v>
      </c>
      <c r="D9" s="276"/>
      <c r="E9" s="455"/>
      <c r="F9" s="456"/>
      <c r="G9" s="433"/>
      <c r="H9" s="29"/>
      <c r="I9" s="270"/>
      <c r="J9" s="278"/>
      <c r="K9" s="271"/>
      <c r="L9" s="272"/>
    </row>
    <row r="10" spans="1:12" s="35" customFormat="1">
      <c r="A10" s="29" t="s">
        <v>51</v>
      </c>
      <c r="B10" s="337">
        <v>1300</v>
      </c>
      <c r="C10" s="278" t="str">
        <f>IF(INT(B10/600)&gt;=1,INT(B10/600)&amp;" thùng + "&amp;MOD(B10,600)/100&amp;" túi ",VALUE(B10/100)&amp;"túi")</f>
        <v xml:space="preserve">2 thùng + 1 túi </v>
      </c>
      <c r="D10" s="278"/>
      <c r="E10" s="30"/>
      <c r="F10" s="46"/>
      <c r="G10" s="434"/>
      <c r="H10" s="26"/>
      <c r="I10" s="213"/>
      <c r="J10" s="278"/>
      <c r="K10" s="45"/>
      <c r="L10" s="258"/>
    </row>
    <row r="11" spans="1:12">
      <c r="A11" s="26" t="s">
        <v>52</v>
      </c>
      <c r="B11" s="337">
        <v>1300</v>
      </c>
      <c r="C11" s="278" t="str">
        <f>IF(INT(B11/400)&gt;=1,INT(B11/400)&amp;" thùng + "&amp;MOD(B11,400)/100&amp;" túi",VALUE(B11/100)&amp;"túi")</f>
        <v>3 thùng + 1 túi</v>
      </c>
      <c r="D11" s="278"/>
      <c r="E11" s="37"/>
      <c r="F11" s="43"/>
      <c r="G11" s="435"/>
      <c r="H11" s="29"/>
      <c r="I11" s="212"/>
      <c r="J11" s="278"/>
      <c r="K11" s="42"/>
      <c r="L11" s="258"/>
    </row>
    <row r="12" spans="1:12" s="35" customFormat="1">
      <c r="A12" s="29" t="s">
        <v>61</v>
      </c>
      <c r="B12" s="337">
        <v>1300</v>
      </c>
      <c r="C12" s="278" t="str">
        <f>IF(INT(B12/600)&gt;=1,INT(B12/600)&amp;" thùng + "&amp;MOD(B12,600)/100&amp;" túi ",VALUE(B12/100)&amp;"túi")</f>
        <v xml:space="preserve">2 thùng + 1 túi </v>
      </c>
      <c r="D12" s="278"/>
      <c r="E12" s="30"/>
      <c r="F12" s="46"/>
      <c r="G12" s="434"/>
      <c r="H12" s="41"/>
      <c r="I12" s="213"/>
      <c r="J12" s="278"/>
      <c r="K12" s="45"/>
      <c r="L12" s="258"/>
    </row>
    <row r="13" spans="1:12" s="44" customFormat="1">
      <c r="A13" s="41" t="s">
        <v>62</v>
      </c>
      <c r="B13" s="337">
        <v>1300</v>
      </c>
      <c r="C13" s="278" t="str">
        <f>IF(INT(B13/400)&gt;=1,INT(B13/400)&amp;" thùng + "&amp;MOD(B13,400)/100&amp;" túi",VALUE(B13/100)&amp;"túi")</f>
        <v>3 thùng + 1 túi</v>
      </c>
      <c r="D13" s="278"/>
      <c r="E13" s="37"/>
      <c r="F13" s="40"/>
      <c r="G13" s="436"/>
      <c r="H13" s="29"/>
      <c r="I13" s="212"/>
      <c r="J13" s="278"/>
      <c r="K13" s="42"/>
      <c r="L13" s="258"/>
    </row>
    <row r="14" spans="1:12" s="35" customFormat="1">
      <c r="A14" s="29" t="s">
        <v>74</v>
      </c>
      <c r="B14" s="337">
        <v>1300</v>
      </c>
      <c r="C14" s="278" t="str">
        <f>IF(INT(B14/200)&gt;=1,INT(B14/200)&amp;" thùng + "&amp;MOD(B14,200)/50&amp;" túi",VALUE(B14/50)&amp;"túi")</f>
        <v>6 thùng + 2 túi</v>
      </c>
      <c r="D14" s="278"/>
      <c r="E14" s="30"/>
      <c r="F14" s="46"/>
      <c r="G14" s="434"/>
      <c r="H14" s="41"/>
      <c r="I14" s="214"/>
      <c r="J14" s="278"/>
      <c r="K14" s="45"/>
      <c r="L14" s="258"/>
    </row>
    <row r="15" spans="1:12" s="44" customFormat="1">
      <c r="A15" s="41" t="s">
        <v>59</v>
      </c>
      <c r="B15" s="337">
        <v>1700</v>
      </c>
      <c r="C15" s="278" t="str">
        <f>IF(INT(B15/600)&gt;=1,INT(B15/600)&amp;" thùng + "&amp;MOD(B15,600)&amp;" cái",VALUE(B15/100)&amp;"túi")</f>
        <v>2 thùng + 500 cái</v>
      </c>
      <c r="D15" s="278"/>
      <c r="E15" s="37"/>
      <c r="F15" s="40"/>
      <c r="G15" s="436"/>
      <c r="H15" s="29"/>
      <c r="I15" s="215"/>
      <c r="J15" s="278"/>
      <c r="K15" s="42"/>
      <c r="L15" s="258"/>
    </row>
    <row r="16" spans="1:12" s="35" customFormat="1">
      <c r="A16" s="29" t="s">
        <v>60</v>
      </c>
      <c r="B16" s="337">
        <v>1700</v>
      </c>
      <c r="C16" s="278" t="str">
        <f>IF(INT(B16/500)&gt;=1,INT(B16/500)&amp;" thùng + "&amp;MOD(B16,500)&amp;" cái",VALUE(B16/100)&amp;"túi")</f>
        <v>3 thùng + 200 cái</v>
      </c>
      <c r="D16" s="278"/>
      <c r="E16" s="30"/>
      <c r="F16" s="46"/>
      <c r="G16" s="434"/>
      <c r="H16" s="26"/>
      <c r="I16" s="215"/>
      <c r="J16" s="278"/>
      <c r="K16" s="45"/>
      <c r="L16" s="258"/>
    </row>
    <row r="17" spans="1:12">
      <c r="A17" s="26" t="s">
        <v>82</v>
      </c>
      <c r="B17" s="337">
        <v>14100</v>
      </c>
      <c r="C17" s="278" t="str">
        <f>IF(INT(B17/4000)&gt;=1,INT(B17/4000)&amp;" thùng + "&amp;MOD(B17,4000)&amp;" cái ",VALUE(B17/100)&amp;"túi")</f>
        <v xml:space="preserve">3 thùng + 2100 cái </v>
      </c>
      <c r="D17" s="278"/>
      <c r="E17" s="37"/>
      <c r="F17" s="43"/>
      <c r="G17" s="435"/>
      <c r="H17" s="29"/>
      <c r="I17" s="214"/>
      <c r="J17" s="37"/>
      <c r="K17" s="42"/>
      <c r="L17" s="258"/>
    </row>
    <row r="18" spans="1:12" s="35" customFormat="1">
      <c r="A18" s="29" t="s">
        <v>73</v>
      </c>
      <c r="B18" s="337">
        <v>1770</v>
      </c>
      <c r="C18" s="278" t="str">
        <f>IF(INT(B18/4000)&gt;=1,INT(B18/4000)&amp;" thùng + "&amp;MOD(B18,4000)/100&amp;" túi ",VALUE(B18/100)&amp;"túi")</f>
        <v>17.7túi</v>
      </c>
      <c r="D18" s="278"/>
      <c r="E18" s="30"/>
      <c r="F18" s="46"/>
      <c r="G18" s="434"/>
      <c r="H18" s="41"/>
      <c r="I18" s="214"/>
      <c r="J18" s="30"/>
      <c r="K18" s="45"/>
      <c r="L18" s="258"/>
    </row>
    <row r="19" spans="1:12">
      <c r="A19" s="26" t="s">
        <v>84</v>
      </c>
      <c r="B19" s="186">
        <v>600</v>
      </c>
      <c r="C19" s="278" t="str">
        <f>IF(INT(B19/6000)&gt;=1,INT(B19/6000)&amp;" thùng + "&amp;MOD(B19,6000)/100&amp;" túi ",VALUE(B19/100)&amp;"túi")</f>
        <v>6túi</v>
      </c>
      <c r="D19" s="278"/>
      <c r="E19" s="37"/>
      <c r="F19" s="43"/>
      <c r="G19" s="435"/>
      <c r="H19" s="29"/>
      <c r="I19" s="215"/>
      <c r="J19" s="37"/>
      <c r="K19" s="42"/>
      <c r="L19" s="258"/>
    </row>
    <row r="20" spans="1:12" s="35" customFormat="1">
      <c r="A20" s="29" t="s">
        <v>81</v>
      </c>
      <c r="B20" s="186">
        <v>600</v>
      </c>
      <c r="C20" s="278" t="str">
        <f>IF(INT(B20/1200)&gt;=1,INT(B20/1200)&amp;" thùng + "&amp;MOD(B20,1200)/100&amp;" túi ",VALUE(B20/100)&amp;"túi")</f>
        <v>6túi</v>
      </c>
      <c r="D20" s="278"/>
      <c r="E20" s="30"/>
      <c r="F20" s="46"/>
      <c r="G20" s="434"/>
      <c r="H20" s="29"/>
      <c r="I20" s="214"/>
      <c r="J20" s="32"/>
      <c r="K20" s="45"/>
      <c r="L20" s="322"/>
    </row>
    <row r="21" spans="1:12">
      <c r="A21" s="26" t="s">
        <v>85</v>
      </c>
      <c r="B21" s="186">
        <v>600</v>
      </c>
      <c r="C21" s="277" t="str">
        <f>IF(INT(B21/25)&gt;=1,INT(B21/25)&amp;" thùng + "&amp;MOD(B21,25)&amp;" cái ",VALUE(B21/25)&amp;"cái")</f>
        <v xml:space="preserve">24 thùng + 0 cái </v>
      </c>
      <c r="D21" s="278"/>
      <c r="E21" s="37"/>
      <c r="F21" s="43"/>
      <c r="G21" s="435"/>
      <c r="H21" s="26"/>
      <c r="I21" s="215"/>
      <c r="J21" s="37"/>
      <c r="K21" s="42"/>
      <c r="L21" s="323"/>
    </row>
    <row r="22" spans="1:12" s="35" customFormat="1">
      <c r="A22" s="29" t="s">
        <v>16</v>
      </c>
      <c r="B22" s="186">
        <v>1200</v>
      </c>
      <c r="C22" s="278" t="str">
        <f>IF(INT(B22/100)&gt;=1,INT(B22/100)&amp;" thùng + "&amp;MOD(B22,100)/100&amp;" túi ",VALUE(B22/100)&amp;"túi")</f>
        <v xml:space="preserve">12 thùng + 0 túi </v>
      </c>
      <c r="D22" s="278"/>
      <c r="E22" s="30"/>
      <c r="F22" s="46"/>
      <c r="G22" s="434"/>
      <c r="H22" s="29"/>
      <c r="I22" s="214"/>
      <c r="J22" s="30"/>
      <c r="K22" s="45"/>
      <c r="L22" s="322"/>
    </row>
    <row r="23" spans="1:12">
      <c r="A23" s="26" t="s">
        <v>57</v>
      </c>
      <c r="B23" s="186">
        <v>1200</v>
      </c>
      <c r="C23" s="278" t="str">
        <f t="shared" ref="C23" si="0">IF(INT(B23/2000)&gt;=1,INT(B23/2000)&amp;" thùng + "&amp;MOD(B23,2000)/100&amp;" túi ",VALUE(B23/100)&amp;"túi")</f>
        <v>12túi</v>
      </c>
      <c r="D23" s="278"/>
      <c r="E23" s="37"/>
      <c r="F23" s="43"/>
      <c r="G23" s="435"/>
      <c r="H23" s="29"/>
      <c r="I23" s="215"/>
      <c r="J23" s="37"/>
      <c r="K23" s="42"/>
      <c r="L23" s="323"/>
    </row>
    <row r="24" spans="1:12" s="35" customFormat="1">
      <c r="A24" s="29" t="s">
        <v>58</v>
      </c>
      <c r="B24" s="186">
        <v>1200</v>
      </c>
      <c r="C24" s="278" t="str">
        <f>IF(INT(B24/100)&gt;=1,INT(B24/100)&amp;" thùng + "&amp;MOD(B24,100)/100&amp;" túi ",VALUE(B24/100)&amp;"túi")</f>
        <v xml:space="preserve">12 thùng + 0 túi </v>
      </c>
      <c r="D24" s="278"/>
      <c r="E24" s="30"/>
      <c r="F24" s="46"/>
      <c r="G24" s="434"/>
      <c r="H24" s="26"/>
      <c r="I24" s="214"/>
      <c r="J24" s="32"/>
      <c r="K24" s="30"/>
      <c r="L24" s="322"/>
    </row>
    <row r="25" spans="1:12">
      <c r="A25" s="26" t="s">
        <v>40</v>
      </c>
      <c r="B25" s="186">
        <v>600</v>
      </c>
      <c r="C25" s="278" t="str">
        <f>IF(INT(B25/500)&gt;=1,INT(B25/500)&amp;" thùng + "&amp;MOD(B25,500)/100&amp;" túi ",VALUE(B25/100)&amp;"túi")</f>
        <v xml:space="preserve">1 thùng + 1 túi </v>
      </c>
      <c r="D25" s="278"/>
      <c r="E25" s="37"/>
      <c r="F25" s="43"/>
      <c r="G25" s="435"/>
      <c r="H25" s="29"/>
      <c r="I25" s="215"/>
      <c r="J25" s="37"/>
      <c r="K25" s="37"/>
      <c r="L25" s="258"/>
    </row>
    <row r="26" spans="1:12" s="35" customFormat="1">
      <c r="A26" s="29" t="s">
        <v>41</v>
      </c>
      <c r="B26" s="186">
        <v>600</v>
      </c>
      <c r="C26" s="278" t="str">
        <f>IF(INT(B26/500)&gt;=1,INT(B26/500)&amp;" thùng + "&amp;MOD(B26,500)/100&amp;" túi ",VALUE(B26/100)&amp;"túi")</f>
        <v xml:space="preserve">1 thùng + 1 túi </v>
      </c>
      <c r="D26" s="278"/>
      <c r="E26" s="30"/>
      <c r="F26" s="46"/>
      <c r="G26" s="434"/>
      <c r="H26" s="41"/>
      <c r="I26" s="215"/>
      <c r="J26" s="32"/>
      <c r="K26" s="30"/>
      <c r="L26" s="322"/>
    </row>
    <row r="27" spans="1:12">
      <c r="A27" s="26" t="s">
        <v>43</v>
      </c>
      <c r="B27" s="186">
        <v>600</v>
      </c>
      <c r="C27" s="278" t="str">
        <f>IF(INT(B27/200)&gt;=1,INT(B27/200)&amp;" thùng + "&amp;MOD(B27,200)/100&amp;" túi ",VALUE(B27/100)&amp;"cái")</f>
        <v xml:space="preserve">3 thùng + 0 túi </v>
      </c>
      <c r="D27" s="278"/>
      <c r="E27" s="37"/>
      <c r="F27" s="43"/>
      <c r="G27" s="435"/>
      <c r="H27" s="26"/>
      <c r="I27" s="214"/>
      <c r="J27" s="37"/>
      <c r="K27" s="30"/>
      <c r="L27" s="322"/>
    </row>
    <row r="28" spans="1:12" s="35" customFormat="1">
      <c r="A28" s="49" t="s">
        <v>46</v>
      </c>
      <c r="B28" s="451">
        <v>400</v>
      </c>
      <c r="C28" s="278" t="str">
        <f>IF(INT(B28/300)&gt;=1,INT(B28/300)&amp;" thùng + "&amp;MOD(B28,300)/100&amp;" túi",VALUE(B28/100)&amp;"túi")</f>
        <v>1 thùng + 1 túi</v>
      </c>
      <c r="D28" s="278"/>
      <c r="E28" s="30"/>
      <c r="F28" s="46"/>
      <c r="G28" s="434"/>
      <c r="H28" s="29"/>
      <c r="I28" s="215"/>
      <c r="J28" s="30"/>
      <c r="K28" s="38"/>
      <c r="L28" s="323"/>
    </row>
    <row r="29" spans="1:12">
      <c r="A29" s="26" t="s">
        <v>20</v>
      </c>
      <c r="B29" s="337">
        <v>800</v>
      </c>
      <c r="C29" s="278" t="str">
        <f>IF(INT(B29/400)&gt;=1,INT(B29/400)&amp;" thùng + "&amp;MOD(B29,400)/100&amp;" túi",VALUE(B29/100)&amp;"túi")</f>
        <v>2 thùng + 0 túi</v>
      </c>
      <c r="D29" s="278"/>
      <c r="E29" s="37"/>
      <c r="F29" s="43"/>
      <c r="G29" s="435"/>
      <c r="H29" s="41"/>
      <c r="I29" s="215"/>
      <c r="J29" s="37"/>
      <c r="K29" s="30"/>
      <c r="L29" s="322"/>
    </row>
    <row r="30" spans="1:12" s="35" customFormat="1">
      <c r="A30" s="29" t="s">
        <v>55</v>
      </c>
      <c r="B30" s="451">
        <v>800</v>
      </c>
      <c r="C30" s="278" t="str">
        <f>IF(INT(B30/100)&gt;=1,INT(B30/100)&amp;" thùng + "&amp;MOD(B30,100)&amp;" cái",VALUE(B30)&amp;"cái")</f>
        <v>8 thùng + 0 cái</v>
      </c>
      <c r="D30" s="278"/>
      <c r="E30" s="30"/>
      <c r="F30" s="46"/>
      <c r="G30" s="434"/>
      <c r="H30" s="49"/>
      <c r="I30" s="208"/>
      <c r="J30" s="30"/>
      <c r="K30" s="38"/>
      <c r="L30" s="323"/>
    </row>
    <row r="31" spans="1:12" s="35" customFormat="1">
      <c r="A31" s="29" t="s">
        <v>241</v>
      </c>
      <c r="B31" s="451">
        <v>1300</v>
      </c>
      <c r="C31" s="278" t="str">
        <f>IF(INT(B31/1000)&gt;=1,INT(B31/1000)&amp;" thùng + "&amp;MOD(B31,1000)&amp;" cái",VALUE(B31)&amp;"cái")</f>
        <v>1 thùng + 300 cái</v>
      </c>
      <c r="D31" s="278"/>
      <c r="E31" s="30"/>
      <c r="F31" s="46"/>
      <c r="G31" s="437"/>
      <c r="H31" s="49"/>
      <c r="I31" s="208"/>
      <c r="J31" s="30"/>
      <c r="K31" s="38"/>
      <c r="L31" s="323"/>
    </row>
    <row r="32" spans="1:12" s="35" customFormat="1">
      <c r="A32" s="29" t="s">
        <v>242</v>
      </c>
      <c r="B32" s="451">
        <v>1000</v>
      </c>
      <c r="C32" s="278" t="str">
        <f>IF(INT(B32/200)&gt;=1,INT(B32/200)&amp;" thùng + "&amp;MOD(B32,200)&amp;" cái",VALUE(B32)&amp;"cái")</f>
        <v>5 thùng + 0 cái</v>
      </c>
      <c r="D32" s="278"/>
      <c r="E32" s="30"/>
      <c r="F32" s="46"/>
      <c r="G32" s="437"/>
      <c r="H32" s="49"/>
      <c r="I32" s="208"/>
      <c r="J32" s="30"/>
      <c r="K32" s="38"/>
      <c r="L32" s="323"/>
    </row>
    <row r="33" spans="1:12" s="35" customFormat="1">
      <c r="A33" s="29" t="s">
        <v>243</v>
      </c>
      <c r="B33" s="451">
        <v>5200</v>
      </c>
      <c r="C33" s="278" t="str">
        <f>IF(INT(B33/4000)&gt;=1,INT(B33/4000)&amp;" thùng + "&amp;MOD(B33,4000)&amp;" cái ",VALUE(B33/100)&amp;"túi")</f>
        <v xml:space="preserve">1 thùng + 1200 cái </v>
      </c>
      <c r="D33" s="278"/>
      <c r="E33" s="30"/>
      <c r="F33" s="46"/>
      <c r="G33" s="437"/>
      <c r="H33" s="49"/>
      <c r="I33" s="208"/>
      <c r="J33" s="30"/>
      <c r="K33" s="38"/>
      <c r="L33" s="323"/>
    </row>
    <row r="34" spans="1:12" s="35" customFormat="1">
      <c r="A34" s="29" t="s">
        <v>236</v>
      </c>
      <c r="B34" s="451">
        <v>1000</v>
      </c>
      <c r="C34" s="278" t="str">
        <f>IF(INT(B34/1000)&gt;=1,INT(B34/1000)&amp;" thùng + "&amp;MOD(B34,1000)&amp;" cái",VALUE(B34)&amp;"cái")</f>
        <v>1 thùng + 0 cái</v>
      </c>
      <c r="D34" s="278"/>
      <c r="E34" s="30"/>
      <c r="F34" s="46"/>
      <c r="G34" s="437"/>
      <c r="H34" s="49"/>
      <c r="I34" s="208"/>
      <c r="J34" s="30"/>
      <c r="K34" s="38"/>
      <c r="L34" s="323"/>
    </row>
    <row r="35" spans="1:12">
      <c r="A35" s="29" t="s">
        <v>265</v>
      </c>
      <c r="B35" s="186">
        <v>2000</v>
      </c>
      <c r="C35" s="278" t="str">
        <f>IF(INT(B35/500)&gt;=1,INT(B35/500)&amp;" thùng + "&amp;MOD(B35,500)/100&amp;" túi",VALUE(B35/100)&amp;"túi")</f>
        <v>4 thùng + 0 túi</v>
      </c>
      <c r="D35" s="38"/>
      <c r="E35" s="37"/>
      <c r="F35" s="43"/>
      <c r="G35" s="324"/>
      <c r="H35" s="49"/>
      <c r="I35" s="208"/>
      <c r="J35" s="37"/>
      <c r="K35" s="30"/>
      <c r="L35" s="322"/>
    </row>
    <row r="36" spans="1:12">
      <c r="A36" s="29" t="s">
        <v>112</v>
      </c>
      <c r="B36" s="186">
        <v>1200</v>
      </c>
      <c r="C36" s="278" t="str">
        <f t="shared" ref="C36" si="1">IF(INT(B36/2000)&gt;=1,INT(B36/2000)&amp;" thùng + "&amp;MOD(B36,2000)/100&amp;" túi ",VALUE(B36/100)&amp;"túi")</f>
        <v>12túi</v>
      </c>
      <c r="D36" s="38"/>
      <c r="E36" s="37"/>
      <c r="F36" s="43"/>
      <c r="G36" s="435"/>
      <c r="H36" s="49"/>
      <c r="I36" s="208"/>
      <c r="J36" s="32"/>
      <c r="K36" s="30"/>
      <c r="L36" s="322"/>
    </row>
    <row r="37" spans="1:12">
      <c r="A37" s="29" t="s">
        <v>277</v>
      </c>
      <c r="B37" s="186">
        <v>1000</v>
      </c>
      <c r="C37" s="278" t="str">
        <f>IF(INT(B37/400)&gt;=1,INT(B37/400)&amp;" thùng + "&amp;MOD(B37,400)/100&amp;" túi ",VALUE(B37/100)&amp;"túi")</f>
        <v xml:space="preserve">2 thùng + 2 túi </v>
      </c>
      <c r="D37" s="38"/>
      <c r="E37" s="37"/>
      <c r="F37" s="43"/>
      <c r="G37" s="435"/>
      <c r="H37" s="49"/>
      <c r="I37" s="208"/>
      <c r="J37" s="32"/>
      <c r="K37" s="30"/>
      <c r="L37" s="322"/>
    </row>
    <row r="38" spans="1:12">
      <c r="A38" s="29" t="s">
        <v>278</v>
      </c>
      <c r="B38" s="337">
        <v>500</v>
      </c>
      <c r="C38" s="278" t="str">
        <f>IF(INT(B38/1000)&gt;=1,INT(B38/1000)&amp;" thùng + "&amp;MOD(B38,1000)/100&amp;" túi ",VALUE(B38/100)&amp;"túi")</f>
        <v>5túi</v>
      </c>
      <c r="D38" s="38"/>
      <c r="E38" s="37"/>
      <c r="F38" s="43"/>
      <c r="G38" s="435"/>
      <c r="H38" s="49"/>
      <c r="I38" s="208"/>
      <c r="J38" s="37"/>
      <c r="K38" s="38"/>
      <c r="L38" s="323"/>
    </row>
    <row r="39" spans="1:12">
      <c r="A39" s="26" t="s">
        <v>295</v>
      </c>
      <c r="B39" s="492"/>
      <c r="C39" s="278"/>
      <c r="D39" s="38"/>
      <c r="E39" s="37"/>
      <c r="F39" s="43"/>
      <c r="G39" s="324"/>
      <c r="H39" s="166"/>
      <c r="I39" s="208"/>
      <c r="J39" s="37"/>
      <c r="K39" s="38"/>
      <c r="L39" s="323"/>
    </row>
    <row r="40" spans="1:12">
      <c r="A40" s="29" t="s">
        <v>272</v>
      </c>
      <c r="B40" s="458"/>
      <c r="C40" s="278"/>
      <c r="D40" s="38"/>
      <c r="E40" s="37"/>
      <c r="F40" s="43"/>
      <c r="H40" s="50"/>
      <c r="I40" s="209"/>
      <c r="J40" s="32"/>
      <c r="K40" s="30"/>
      <c r="L40" s="322"/>
    </row>
    <row r="41" spans="1:12">
      <c r="A41" s="26" t="s">
        <v>262</v>
      </c>
      <c r="B41" s="458"/>
      <c r="C41" s="278"/>
      <c r="D41" s="38"/>
      <c r="E41" s="37"/>
      <c r="F41" s="43"/>
      <c r="H41" s="50"/>
      <c r="I41" s="209"/>
      <c r="J41" s="37"/>
      <c r="K41" s="38"/>
      <c r="L41" s="323"/>
    </row>
    <row r="42" spans="1:12">
      <c r="A42" s="29" t="s">
        <v>263</v>
      </c>
      <c r="B42" s="458"/>
      <c r="C42" s="38"/>
      <c r="D42" s="38"/>
      <c r="E42" s="37"/>
      <c r="F42" s="43"/>
      <c r="H42" s="50"/>
      <c r="I42" s="209"/>
      <c r="J42" s="32"/>
      <c r="K42" s="30"/>
      <c r="L42" s="322"/>
    </row>
    <row r="43" spans="1:12" ht="13.5" thickBot="1">
      <c r="A43" s="444" t="s">
        <v>264</v>
      </c>
      <c r="B43" s="459"/>
      <c r="C43" s="139"/>
      <c r="D43" s="139"/>
      <c r="E43" s="183"/>
      <c r="F43" s="140"/>
      <c r="H43" s="49"/>
      <c r="I43" s="208"/>
      <c r="J43" s="37"/>
      <c r="K43" s="38"/>
      <c r="L43" s="323"/>
    </row>
    <row r="44" spans="1:12">
      <c r="H44" s="50"/>
      <c r="I44" s="209"/>
      <c r="J44" s="30"/>
      <c r="K44" s="30"/>
      <c r="L44" s="46"/>
    </row>
    <row r="45" spans="1:12">
      <c r="H45" s="49"/>
      <c r="I45" s="208"/>
      <c r="J45" s="37"/>
      <c r="K45" s="38"/>
      <c r="L45" s="43"/>
    </row>
    <row r="46" spans="1:12">
      <c r="H46" s="49"/>
      <c r="I46" s="208"/>
      <c r="J46" s="30"/>
      <c r="K46" s="30"/>
      <c r="L46" s="46"/>
    </row>
    <row r="47" spans="1:12">
      <c r="H47" s="50"/>
      <c r="I47" s="209"/>
      <c r="J47" s="37"/>
      <c r="K47" s="38"/>
      <c r="L47" s="43"/>
    </row>
    <row r="48" spans="1:12">
      <c r="H48" s="273"/>
      <c r="I48" s="209"/>
      <c r="J48" s="32"/>
      <c r="K48" s="30"/>
      <c r="L48" s="46"/>
    </row>
    <row r="49" spans="8:12">
      <c r="H49" s="29"/>
      <c r="I49" s="209"/>
      <c r="J49" s="32"/>
      <c r="K49" s="38"/>
      <c r="L49" s="43"/>
    </row>
    <row r="50" spans="8:12">
      <c r="H50" s="26"/>
      <c r="I50" s="209"/>
      <c r="J50" s="37"/>
      <c r="K50" s="30"/>
      <c r="L50" s="46"/>
    </row>
    <row r="51" spans="8:12" ht="13.5" thickBot="1">
      <c r="H51" s="47"/>
      <c r="I51" s="274"/>
      <c r="J51" s="275"/>
      <c r="K51" s="139"/>
      <c r="L51" s="140"/>
    </row>
    <row r="52" spans="8:12">
      <c r="H52" s="259"/>
      <c r="I52" s="260"/>
      <c r="J52" s="261"/>
      <c r="K52" s="262"/>
      <c r="L52" s="262"/>
    </row>
    <row r="53" spans="8:12">
      <c r="H53" s="263"/>
      <c r="I53" s="260"/>
      <c r="J53" s="264"/>
      <c r="K53" s="264"/>
      <c r="L53" s="264"/>
    </row>
    <row r="54" spans="8:12">
      <c r="H54" s="259"/>
      <c r="I54" s="260"/>
      <c r="J54" s="264"/>
      <c r="K54" s="264"/>
      <c r="L54" s="264"/>
    </row>
    <row r="55" spans="8:12">
      <c r="H55" s="263"/>
      <c r="I55" s="260"/>
      <c r="J55" s="261"/>
      <c r="K55" s="264"/>
      <c r="L55" s="264"/>
    </row>
    <row r="56" spans="8:12">
      <c r="H56" s="259"/>
      <c r="I56" s="260"/>
      <c r="J56" s="265"/>
      <c r="K56" s="262"/>
      <c r="L56" s="262"/>
    </row>
    <row r="57" spans="8:12">
      <c r="H57" s="263"/>
      <c r="I57" s="260"/>
      <c r="J57" s="261"/>
      <c r="K57" s="264"/>
      <c r="L57" s="264"/>
    </row>
    <row r="58" spans="8:12">
      <c r="H58" s="259"/>
      <c r="I58" s="260"/>
      <c r="J58" s="262"/>
      <c r="K58" s="262"/>
      <c r="L58" s="262"/>
    </row>
    <row r="59" spans="8:12">
      <c r="H59" s="263"/>
      <c r="I59" s="260"/>
      <c r="J59" s="261"/>
      <c r="K59" s="264"/>
      <c r="L59" s="264"/>
    </row>
    <row r="60" spans="8:12">
      <c r="H60" s="259"/>
      <c r="I60" s="260"/>
      <c r="J60" s="264"/>
      <c r="K60" s="264"/>
      <c r="L60" s="264"/>
    </row>
    <row r="61" spans="8:12">
      <c r="H61" s="263"/>
      <c r="I61" s="260"/>
      <c r="J61" s="264"/>
      <c r="K61" s="264"/>
      <c r="L61" s="264"/>
    </row>
    <row r="62" spans="8:12">
      <c r="H62" s="259"/>
      <c r="I62" s="260"/>
      <c r="J62" s="264"/>
      <c r="K62" s="264"/>
      <c r="L62" s="264"/>
    </row>
    <row r="63" spans="8:12">
      <c r="H63" s="262"/>
      <c r="I63" s="261"/>
      <c r="J63" s="264"/>
      <c r="K63" s="264"/>
      <c r="L63" s="264"/>
    </row>
    <row r="64" spans="8:12">
      <c r="H64" s="261"/>
      <c r="I64" s="261"/>
      <c r="J64" s="264"/>
      <c r="K64" s="264"/>
      <c r="L64" s="264"/>
    </row>
    <row r="65" spans="8:12">
      <c r="H65" s="262"/>
      <c r="I65" s="261"/>
      <c r="J65" s="264"/>
      <c r="K65" s="264"/>
      <c r="L65" s="264"/>
    </row>
    <row r="66" spans="8:12">
      <c r="H66" s="262"/>
      <c r="I66" s="261"/>
      <c r="J66" s="264"/>
      <c r="K66" s="264"/>
      <c r="L66" s="264"/>
    </row>
    <row r="67" spans="8:12">
      <c r="H67" s="264"/>
      <c r="I67" s="261"/>
      <c r="J67" s="264"/>
      <c r="K67" s="264"/>
      <c r="L67" s="264"/>
    </row>
    <row r="68" spans="8:12">
      <c r="H68" s="262"/>
      <c r="I68" s="261"/>
      <c r="J68" s="264"/>
      <c r="K68" s="264"/>
      <c r="L68" s="264"/>
    </row>
    <row r="69" spans="8:12">
      <c r="H69" s="264"/>
      <c r="I69" s="261"/>
      <c r="J69" s="264"/>
      <c r="K69" s="264"/>
      <c r="L69" s="264"/>
    </row>
    <row r="70" spans="8:12">
      <c r="H70" s="262"/>
      <c r="I70" s="261"/>
    </row>
    <row r="71" spans="8:12">
      <c r="H71" s="262"/>
      <c r="I71" s="261"/>
    </row>
    <row r="72" spans="8:12">
      <c r="H72" s="264"/>
      <c r="I72" s="261"/>
    </row>
    <row r="73" spans="8:12">
      <c r="H73" s="262"/>
      <c r="I73" s="261"/>
    </row>
    <row r="74" spans="8:12">
      <c r="H74" s="264"/>
      <c r="I74" s="261"/>
    </row>
    <row r="75" spans="8:12">
      <c r="H75" s="262"/>
      <c r="I75" s="261"/>
    </row>
    <row r="76" spans="8:12">
      <c r="H76" s="264"/>
      <c r="I76" s="261"/>
    </row>
    <row r="77" spans="8:12">
      <c r="H77" s="262"/>
      <c r="I77" s="261"/>
    </row>
    <row r="78" spans="8:12">
      <c r="H78" s="264"/>
      <c r="I78" s="261"/>
    </row>
    <row r="79" spans="8:12">
      <c r="H79" s="262"/>
      <c r="I79" s="261"/>
    </row>
    <row r="80" spans="8:12">
      <c r="H80" s="264"/>
      <c r="I80" s="261"/>
    </row>
    <row r="81" spans="8:9">
      <c r="H81" s="262"/>
      <c r="I81" s="261"/>
    </row>
    <row r="82" spans="8:9">
      <c r="H82" s="266"/>
      <c r="I82" s="267"/>
    </row>
    <row r="83" spans="8:9">
      <c r="H83" s="266"/>
      <c r="I83" s="267"/>
    </row>
    <row r="84" spans="8:9">
      <c r="H84" s="266"/>
      <c r="I84" s="267"/>
    </row>
    <row r="85" spans="8:9">
      <c r="H85" s="266"/>
      <c r="I85" s="267"/>
    </row>
  </sheetData>
  <mergeCells count="18">
    <mergeCell ref="A5:C5"/>
    <mergeCell ref="A1:E1"/>
    <mergeCell ref="H1:L1"/>
    <mergeCell ref="D2:F2"/>
    <mergeCell ref="I2:K2"/>
    <mergeCell ref="I4:K4"/>
    <mergeCell ref="J7:J8"/>
    <mergeCell ref="K7:K8"/>
    <mergeCell ref="A6:A8"/>
    <mergeCell ref="B6:C6"/>
    <mergeCell ref="D6:F6"/>
    <mergeCell ref="I6:L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  <pageSetup paperSize="9"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1-8</vt:lpstr>
      <vt:lpstr>HA NAM 1-8</vt:lpstr>
      <vt:lpstr>2-8</vt:lpstr>
      <vt:lpstr>HA NAM 2-8</vt:lpstr>
      <vt:lpstr>3-8</vt:lpstr>
      <vt:lpstr>HA NAM 3-8</vt:lpstr>
      <vt:lpstr>4-8</vt:lpstr>
      <vt:lpstr>HA NAM 4-8 </vt:lpstr>
      <vt:lpstr>5-8</vt:lpstr>
      <vt:lpstr>HA NAM 5-8</vt:lpstr>
      <vt:lpstr>8-8</vt:lpstr>
      <vt:lpstr>HA NAM 8-8</vt:lpstr>
      <vt:lpstr>9-8</vt:lpstr>
      <vt:lpstr>HA NAM 9-8</vt:lpstr>
      <vt:lpstr>10-8</vt:lpstr>
      <vt:lpstr>HA NAM 10-8</vt:lpstr>
      <vt:lpstr>11-8</vt:lpstr>
      <vt:lpstr>HA NAM 11-8</vt:lpstr>
      <vt:lpstr>12-8</vt:lpstr>
      <vt:lpstr>HA NAM 12-8</vt:lpstr>
      <vt:lpstr>3-7</vt:lpstr>
      <vt:lpstr>HA NAM 3-7</vt:lpstr>
      <vt:lpstr>4-7</vt:lpstr>
      <vt:lpstr>HA NAM 4-7</vt:lpstr>
      <vt:lpstr>5-7</vt:lpstr>
      <vt:lpstr>HA NAM 5-7</vt:lpstr>
      <vt:lpstr>6-7</vt:lpstr>
      <vt:lpstr>HA NAM 6-7</vt:lpstr>
      <vt:lpstr>7-7</vt:lpstr>
      <vt:lpstr>HA NAM 7-7</vt:lpstr>
      <vt:lpstr>9-7</vt:lpstr>
      <vt:lpstr>HA NAM 9-7</vt:lpstr>
      <vt:lpstr>10-7</vt:lpstr>
      <vt:lpstr>HA NAM 10-7</vt:lpstr>
      <vt:lpstr>11-7</vt:lpstr>
      <vt:lpstr>HA NAM 11-7</vt:lpstr>
      <vt:lpstr>12-7</vt:lpstr>
      <vt:lpstr>HA NAM 12-7</vt:lpstr>
      <vt:lpstr>13-7</vt:lpstr>
      <vt:lpstr>HA NAM 13-7</vt:lpstr>
      <vt:lpstr>14-7</vt:lpstr>
      <vt:lpstr>HA NAM 14-7</vt:lpstr>
      <vt:lpstr>16-7</vt:lpstr>
      <vt:lpstr>HA NAM 16-7</vt:lpstr>
      <vt:lpstr>17-7</vt:lpstr>
      <vt:lpstr>HA NAM 17-7</vt:lpstr>
      <vt:lpstr>18-7</vt:lpstr>
      <vt:lpstr>HA NAM 18-7</vt:lpstr>
      <vt:lpstr>19-7</vt:lpstr>
      <vt:lpstr>HA NAM 19-7</vt:lpstr>
      <vt:lpstr>20-7</vt:lpstr>
      <vt:lpstr>HA NAM 20-7</vt:lpstr>
      <vt:lpstr>21-7</vt:lpstr>
      <vt:lpstr>HA NAM 21-7</vt:lpstr>
      <vt:lpstr>23-7</vt:lpstr>
      <vt:lpstr>HA NAM 23-7</vt:lpstr>
      <vt:lpstr>24-7</vt:lpstr>
      <vt:lpstr>HA NAM 24-7</vt:lpstr>
      <vt:lpstr>25-7</vt:lpstr>
      <vt:lpstr>HA NAM 25-7</vt:lpstr>
      <vt:lpstr>26-7</vt:lpstr>
      <vt:lpstr>HA NAM 26-7</vt:lpstr>
      <vt:lpstr>27-7</vt:lpstr>
      <vt:lpstr>HA NAM 27-7</vt:lpstr>
      <vt:lpstr>30-7</vt:lpstr>
      <vt:lpstr>HA NAM 30-7</vt:lpstr>
      <vt:lpstr>31-7</vt:lpstr>
      <vt:lpstr>HA NAM 31-7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Customers</dc:creator>
  <cp:lastModifiedBy>Admin</cp:lastModifiedBy>
  <cp:lastPrinted>2018-07-20T06:49:48Z</cp:lastPrinted>
  <dcterms:created xsi:type="dcterms:W3CDTF">2015-01-10T01:43:00Z</dcterms:created>
  <dcterms:modified xsi:type="dcterms:W3CDTF">2018-08-20T10:25:21Z</dcterms:modified>
</cp:coreProperties>
</file>